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9.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30.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0" yWindow="660" windowWidth="12120" windowHeight="5715" tabRatio="884" activeTab="7"/>
  </bookViews>
  <sheets>
    <sheet name="Budget Summary" sheetId="42" r:id="rId1"/>
    <sheet name="Budget Summary by Category" sheetId="43" r:id="rId2"/>
    <sheet name="Fund Balance History" sheetId="45" r:id="rId3"/>
    <sheet name="Fund Balance Summary" sheetId="44" r:id="rId4"/>
    <sheet name="Gen Fd Cover Sheets" sheetId="40" r:id="rId5"/>
    <sheet name="Veh &amp; Equip Cover Sheet" sheetId="51" r:id="rId6"/>
    <sheet name="Fund Cover Sheets" sheetId="39" r:id="rId7"/>
    <sheet name="Budget Detail FY 2013-20" sheetId="36" r:id="rId8"/>
  </sheets>
  <definedNames>
    <definedName name="_xlnm.Print_Area" localSheetId="7">'Budget Detail FY 2013-20'!$A$4:$T$1293</definedName>
    <definedName name="_xlnm.Print_Area" localSheetId="0">'Budget Summary'!$A$1:$K$37,'Budget Summary'!$A$40:$K$76</definedName>
    <definedName name="_xlnm.Print_Area" localSheetId="1">'Budget Summary by Category'!$A$1:$M$36,'Budget Summary by Category'!$A$39:$K$74</definedName>
    <definedName name="_xlnm.Print_Area" localSheetId="2">'Fund Balance History'!$A$1:$K$50</definedName>
    <definedName name="_xlnm.Print_Area" localSheetId="3">'Fund Balance Summary'!$A$1:$L$36</definedName>
    <definedName name="_xlnm.Print_Area" localSheetId="6">'Fund Cover Sheets'!$A$1:$K$1104</definedName>
    <definedName name="_xlnm.Print_Area" localSheetId="4">'Gen Fd Cover Sheets'!$A$1:$K$202</definedName>
    <definedName name="_xlnm.Print_Area" localSheetId="5">'Veh &amp; Equip Cover Sheet'!$A$1:$K$83</definedName>
    <definedName name="_xlnm.Print_Titles" localSheetId="7">'Budget Detail FY 2013-20'!$3:$6</definedName>
  </definedNames>
  <calcPr calcId="125725"/>
</workbook>
</file>

<file path=xl/calcChain.xml><?xml version="1.0" encoding="utf-8"?>
<calcChain xmlns="http://schemas.openxmlformats.org/spreadsheetml/2006/main">
  <c r="D15" i="40"/>
  <c r="E15"/>
  <c r="F15"/>
  <c r="G15"/>
  <c r="H15"/>
  <c r="I15"/>
  <c r="J15"/>
  <c r="K15"/>
  <c r="C15"/>
  <c r="T101" i="36"/>
  <c r="S101"/>
  <c r="R101"/>
  <c r="Q101"/>
  <c r="P101"/>
  <c r="O101"/>
  <c r="N101"/>
  <c r="M101"/>
  <c r="L101"/>
  <c r="P566"/>
  <c r="S419"/>
  <c r="R419"/>
  <c r="P379"/>
  <c r="P393"/>
  <c r="D397" i="39" l="1"/>
  <c r="E397"/>
  <c r="F397"/>
  <c r="C397"/>
  <c r="O721" i="36"/>
  <c r="R423" l="1"/>
  <c r="M1215"/>
  <c r="N1215"/>
  <c r="L1215"/>
  <c r="M1214"/>
  <c r="N1214"/>
  <c r="L1214"/>
  <c r="T539"/>
  <c r="K397" i="39" s="1"/>
  <c r="S539" i="36"/>
  <c r="J397" i="39" s="1"/>
  <c r="R539" i="36"/>
  <c r="I397" i="39" s="1"/>
  <c r="Q539" i="36"/>
  <c r="H397" i="39" s="1"/>
  <c r="P539" i="36"/>
  <c r="G397" i="39" s="1"/>
  <c r="P528" i="36" l="1"/>
  <c r="D492" i="39" l="1"/>
  <c r="E492"/>
  <c r="F492"/>
  <c r="C492"/>
  <c r="Q9" i="36" l="1"/>
  <c r="P675"/>
  <c r="Q675"/>
  <c r="R675"/>
  <c r="S675"/>
  <c r="T675"/>
  <c r="T419"/>
  <c r="P424"/>
  <c r="O424"/>
  <c r="O499"/>
  <c r="P500"/>
  <c r="K492" i="39" l="1"/>
  <c r="H492"/>
  <c r="I492"/>
  <c r="G492"/>
  <c r="J492"/>
  <c r="T345" i="36"/>
  <c r="O965"/>
  <c r="O703"/>
  <c r="O608"/>
  <c r="O497"/>
  <c r="O412"/>
  <c r="O337"/>
  <c r="O257"/>
  <c r="R9" l="1"/>
  <c r="R528"/>
  <c r="Q528"/>
  <c r="Q524"/>
  <c r="R524" l="1"/>
  <c r="S9"/>
  <c r="T565"/>
  <c r="S565"/>
  <c r="R565"/>
  <c r="Q565"/>
  <c r="P565"/>
  <c r="T9" l="1"/>
  <c r="P801"/>
  <c r="Q118" l="1"/>
  <c r="R118"/>
  <c r="S118"/>
  <c r="T118"/>
  <c r="P118"/>
  <c r="D41" i="51" l="1"/>
  <c r="E41"/>
  <c r="F41"/>
  <c r="G41"/>
  <c r="H41"/>
  <c r="I41"/>
  <c r="J41"/>
  <c r="K41"/>
  <c r="C41"/>
  <c r="D333" i="39"/>
  <c r="E333"/>
  <c r="F333"/>
  <c r="G333"/>
  <c r="H333"/>
  <c r="I333"/>
  <c r="J333"/>
  <c r="K333"/>
  <c r="C333"/>
  <c r="D162"/>
  <c r="E162"/>
  <c r="F162"/>
  <c r="C162"/>
  <c r="T801" i="36"/>
  <c r="S801"/>
  <c r="R801"/>
  <c r="Q801"/>
  <c r="P460" l="1"/>
  <c r="Q460"/>
  <c r="R460"/>
  <c r="S460"/>
  <c r="T460"/>
  <c r="O375" l="1"/>
  <c r="O324"/>
  <c r="P695" l="1"/>
  <c r="P592"/>
  <c r="P207"/>
  <c r="P27" l="1"/>
  <c r="Q27" l="1"/>
  <c r="O327"/>
  <c r="O349"/>
  <c r="Q254"/>
  <c r="R254"/>
  <c r="S254"/>
  <c r="T254"/>
  <c r="P254"/>
  <c r="R27" l="1"/>
  <c r="S27" l="1"/>
  <c r="M1207"/>
  <c r="N1207"/>
  <c r="O1207"/>
  <c r="M1206"/>
  <c r="N1206"/>
  <c r="O1206"/>
  <c r="P1206"/>
  <c r="Q1206"/>
  <c r="R1206"/>
  <c r="S1206"/>
  <c r="T1206"/>
  <c r="L1207"/>
  <c r="L1206"/>
  <c r="D243" i="39"/>
  <c r="E243"/>
  <c r="J243"/>
  <c r="K243"/>
  <c r="C243"/>
  <c r="D153"/>
  <c r="E153"/>
  <c r="G153"/>
  <c r="H153"/>
  <c r="I153"/>
  <c r="J153"/>
  <c r="K153"/>
  <c r="C153"/>
  <c r="S667" i="36"/>
  <c r="R667"/>
  <c r="Q667"/>
  <c r="P667"/>
  <c r="O667"/>
  <c r="T667" l="1"/>
  <c r="T27"/>
  <c r="O1208"/>
  <c r="M1208"/>
  <c r="N1208"/>
  <c r="L1208"/>
  <c r="P1201"/>
  <c r="P853" l="1"/>
  <c r="R207" l="1"/>
  <c r="S207"/>
  <c r="T207"/>
  <c r="Q207"/>
  <c r="R592"/>
  <c r="S592"/>
  <c r="T592"/>
  <c r="Q592"/>
  <c r="M1277"/>
  <c r="N1277"/>
  <c r="P1277"/>
  <c r="Q1277"/>
  <c r="R1277"/>
  <c r="S1277"/>
  <c r="T1277"/>
  <c r="L1277"/>
  <c r="M1293"/>
  <c r="M1292" s="1"/>
  <c r="N1293"/>
  <c r="N1292" s="1"/>
  <c r="P1293"/>
  <c r="P1292" s="1"/>
  <c r="Q1293"/>
  <c r="Q1292" s="1"/>
  <c r="R1293"/>
  <c r="R1292" s="1"/>
  <c r="S1293"/>
  <c r="S1292" s="1"/>
  <c r="T1293"/>
  <c r="T1292" s="1"/>
  <c r="L1293"/>
  <c r="L1292" s="1"/>
  <c r="M1290"/>
  <c r="M1289" s="1"/>
  <c r="N1290"/>
  <c r="O1290"/>
  <c r="P1290"/>
  <c r="P1289" s="1"/>
  <c r="Q1290"/>
  <c r="Q1289" s="1"/>
  <c r="T1290"/>
  <c r="T1289" s="1"/>
  <c r="M1287"/>
  <c r="M1286" s="1"/>
  <c r="N1287"/>
  <c r="N1286" s="1"/>
  <c r="O1287"/>
  <c r="O1286" s="1"/>
  <c r="Q1287"/>
  <c r="Q1286" s="1"/>
  <c r="L1290"/>
  <c r="L1289" s="1"/>
  <c r="L1287"/>
  <c r="L1286" s="1"/>
  <c r="M1282"/>
  <c r="N1282"/>
  <c r="O1282"/>
  <c r="P1282"/>
  <c r="Q1282"/>
  <c r="R1282"/>
  <c r="S1282"/>
  <c r="T1282"/>
  <c r="M1281"/>
  <c r="N1281"/>
  <c r="O1281"/>
  <c r="P1281"/>
  <c r="Q1281"/>
  <c r="R1281"/>
  <c r="S1281"/>
  <c r="T1281"/>
  <c r="L1282"/>
  <c r="L1281"/>
  <c r="M1278"/>
  <c r="N1278"/>
  <c r="Q1278"/>
  <c r="R1278"/>
  <c r="S1278"/>
  <c r="T1278"/>
  <c r="L1278"/>
  <c r="L1276"/>
  <c r="L1275" l="1"/>
  <c r="O1289"/>
  <c r="N1289"/>
  <c r="P992"/>
  <c r="P1207" l="1"/>
  <c r="P1208" s="1"/>
  <c r="O561"/>
  <c r="O562"/>
  <c r="D258" i="39"/>
  <c r="E258"/>
  <c r="C258"/>
  <c r="D156"/>
  <c r="E156"/>
  <c r="G156"/>
  <c r="H156"/>
  <c r="I156"/>
  <c r="J156"/>
  <c r="K156"/>
  <c r="C156"/>
  <c r="S1280" i="36"/>
  <c r="Q1280"/>
  <c r="M436"/>
  <c r="N436"/>
  <c r="L436"/>
  <c r="L398"/>
  <c r="L333"/>
  <c r="M333"/>
  <c r="N333"/>
  <c r="P333"/>
  <c r="Q333"/>
  <c r="R333"/>
  <c r="S333"/>
  <c r="T333"/>
  <c r="O331"/>
  <c r="O330"/>
  <c r="F156" i="39" l="1"/>
  <c r="M1280" i="36"/>
  <c r="L1280"/>
  <c r="T1280"/>
  <c r="N1280"/>
  <c r="R1280"/>
  <c r="P699"/>
  <c r="Q598"/>
  <c r="R598"/>
  <c r="S598"/>
  <c r="T598"/>
  <c r="P598"/>
  <c r="P394"/>
  <c r="Q402"/>
  <c r="R402"/>
  <c r="S402"/>
  <c r="T402"/>
  <c r="P402"/>
  <c r="Q215"/>
  <c r="R215"/>
  <c r="S215"/>
  <c r="T215"/>
  <c r="P215"/>
  <c r="Q859" l="1"/>
  <c r="R859"/>
  <c r="S859"/>
  <c r="T859"/>
  <c r="P859"/>
  <c r="Q1079"/>
  <c r="R1079"/>
  <c r="S1079"/>
  <c r="T1079"/>
  <c r="P1079"/>
  <c r="O325" l="1"/>
  <c r="P1081"/>
  <c r="Q1081"/>
  <c r="R1081"/>
  <c r="S1081"/>
  <c r="T1081"/>
  <c r="O1081"/>
  <c r="P628"/>
  <c r="Q628"/>
  <c r="R628"/>
  <c r="S628"/>
  <c r="T628"/>
  <c r="O628"/>
  <c r="P348"/>
  <c r="Q348"/>
  <c r="R348"/>
  <c r="S348"/>
  <c r="T348"/>
  <c r="O348"/>
  <c r="Q720"/>
  <c r="R720"/>
  <c r="S720"/>
  <c r="T720"/>
  <c r="P720"/>
  <c r="O720"/>
  <c r="O718"/>
  <c r="O1293" l="1"/>
  <c r="O1292" s="1"/>
  <c r="Q419"/>
  <c r="P419"/>
  <c r="L1179" l="1"/>
  <c r="T623"/>
  <c r="S623"/>
  <c r="R623"/>
  <c r="P623"/>
  <c r="R1287" l="1"/>
  <c r="R1286" s="1"/>
  <c r="T1287"/>
  <c r="T1286" s="1"/>
  <c r="P1287"/>
  <c r="S1287"/>
  <c r="S1286" s="1"/>
  <c r="Q697"/>
  <c r="R697"/>
  <c r="S697"/>
  <c r="T697"/>
  <c r="P697"/>
  <c r="Q596"/>
  <c r="R596"/>
  <c r="S596"/>
  <c r="T596"/>
  <c r="P596"/>
  <c r="P114"/>
  <c r="Q114"/>
  <c r="R114"/>
  <c r="S114"/>
  <c r="T114"/>
  <c r="P1286" l="1"/>
  <c r="P1278"/>
  <c r="O1278"/>
  <c r="O346" l="1"/>
  <c r="P498" l="1"/>
  <c r="O966"/>
  <c r="D904" i="39" l="1"/>
  <c r="E904"/>
  <c r="G904"/>
  <c r="H904"/>
  <c r="I904"/>
  <c r="J904"/>
  <c r="K904"/>
  <c r="C904"/>
  <c r="M133" i="36"/>
  <c r="N133"/>
  <c r="O133"/>
  <c r="L133"/>
  <c r="M398"/>
  <c r="N398"/>
  <c r="O1082"/>
  <c r="F904" i="39" l="1"/>
  <c r="P429" i="36"/>
  <c r="P1280" s="1"/>
  <c r="O429"/>
  <c r="O1280" s="1"/>
  <c r="O773"/>
  <c r="P378"/>
  <c r="O378"/>
  <c r="D180" i="40"/>
  <c r="E180"/>
  <c r="C180"/>
  <c r="P428" i="36"/>
  <c r="P421"/>
  <c r="P375" s="1"/>
  <c r="P389" l="1"/>
  <c r="O389"/>
  <c r="F243" i="39"/>
  <c r="S626" i="36"/>
  <c r="S1290" s="1"/>
  <c r="S1289" s="1"/>
  <c r="R626"/>
  <c r="R1290" s="1"/>
  <c r="O388"/>
  <c r="O415"/>
  <c r="G243" i="39" l="1"/>
  <c r="O436" i="36"/>
  <c r="R1289"/>
  <c r="Q954" l="1"/>
  <c r="P241"/>
  <c r="P159" l="1"/>
  <c r="P158" l="1"/>
  <c r="P701"/>
  <c r="P605"/>
  <c r="P224"/>
  <c r="O994"/>
  <c r="T528"/>
  <c r="S528"/>
  <c r="O343" l="1"/>
  <c r="P42"/>
  <c r="P59"/>
  <c r="P189"/>
  <c r="P113"/>
  <c r="S185"/>
  <c r="T185"/>
  <c r="R185"/>
  <c r="Q185"/>
  <c r="P185"/>
  <c r="O185"/>
  <c r="P232" l="1"/>
  <c r="O333"/>
  <c r="F153" i="39"/>
  <c r="O1277" i="36"/>
  <c r="L1213" l="1"/>
  <c r="D257" i="39" l="1"/>
  <c r="E257"/>
  <c r="F257"/>
  <c r="G257"/>
  <c r="H257"/>
  <c r="I257"/>
  <c r="J257"/>
  <c r="K257"/>
  <c r="C257"/>
  <c r="P461" i="36"/>
  <c r="Q461"/>
  <c r="R480"/>
  <c r="S480"/>
  <c r="T480"/>
  <c r="Q480"/>
  <c r="P480"/>
  <c r="Q992"/>
  <c r="R992"/>
  <c r="S992"/>
  <c r="T992"/>
  <c r="T1207" l="1"/>
  <c r="T1208" s="1"/>
  <c r="Q1207"/>
  <c r="Q1208" s="1"/>
  <c r="R1207"/>
  <c r="R1208" s="1"/>
  <c r="S1207"/>
  <c r="S1208" s="1"/>
  <c r="M1237"/>
  <c r="N1237"/>
  <c r="O1237"/>
  <c r="P1237"/>
  <c r="L1237"/>
  <c r="M1244"/>
  <c r="N1244"/>
  <c r="O1244"/>
  <c r="P1244"/>
  <c r="M1243"/>
  <c r="N1243"/>
  <c r="O1243"/>
  <c r="P1243"/>
  <c r="L1244"/>
  <c r="L1243"/>
  <c r="M1239"/>
  <c r="N1239"/>
  <c r="O1239"/>
  <c r="P1239"/>
  <c r="L1239"/>
  <c r="P1245" l="1"/>
  <c r="O1245"/>
  <c r="N1245"/>
  <c r="M1245"/>
  <c r="N1250"/>
  <c r="O1250"/>
  <c r="L1250"/>
  <c r="M1250"/>
  <c r="P1250"/>
  <c r="L1245"/>
  <c r="N1248"/>
  <c r="O1248"/>
  <c r="M1248"/>
  <c r="P1248"/>
  <c r="L1248"/>
  <c r="R954"/>
  <c r="S954" s="1"/>
  <c r="T954" s="1"/>
  <c r="P693"/>
  <c r="M1238"/>
  <c r="M1249" s="1"/>
  <c r="N1238"/>
  <c r="O1238"/>
  <c r="L1238"/>
  <c r="M1221"/>
  <c r="N1221"/>
  <c r="O1221"/>
  <c r="L1221"/>
  <c r="L1220"/>
  <c r="L1219"/>
  <c r="L1201"/>
  <c r="L1202" s="1"/>
  <c r="N1173"/>
  <c r="M1187"/>
  <c r="N1187"/>
  <c r="O1187"/>
  <c r="P1187"/>
  <c r="Q1187"/>
  <c r="R1187"/>
  <c r="S1187"/>
  <c r="T1187"/>
  <c r="L1187"/>
  <c r="L1182"/>
  <c r="M1173"/>
  <c r="O1173"/>
  <c r="L1173"/>
  <c r="M1240" l="1"/>
  <c r="M1251"/>
  <c r="N1249"/>
  <c r="N1251" s="1"/>
  <c r="N1240"/>
  <c r="L1249"/>
  <c r="L1251" s="1"/>
  <c r="L1240"/>
  <c r="O1240"/>
  <c r="O1249"/>
  <c r="O1251" s="1"/>
  <c r="D451" i="39"/>
  <c r="E451"/>
  <c r="C451"/>
  <c r="D449"/>
  <c r="E449"/>
  <c r="F449"/>
  <c r="C449"/>
  <c r="D439"/>
  <c r="E439"/>
  <c r="F439"/>
  <c r="C439"/>
  <c r="P250" i="36"/>
  <c r="O259" l="1"/>
  <c r="P343" l="1"/>
  <c r="P310"/>
  <c r="Q293"/>
  <c r="P293"/>
  <c r="O245"/>
  <c r="O260"/>
  <c r="R293" l="1"/>
  <c r="Q310"/>
  <c r="P823"/>
  <c r="P708"/>
  <c r="P613"/>
  <c r="P220"/>
  <c r="Q220" s="1"/>
  <c r="R220" s="1"/>
  <c r="S220" s="1"/>
  <c r="T220" s="1"/>
  <c r="D247" i="39"/>
  <c r="E247"/>
  <c r="J247"/>
  <c r="K247"/>
  <c r="C247"/>
  <c r="O387" i="36"/>
  <c r="T610"/>
  <c r="S610"/>
  <c r="R610"/>
  <c r="Q610"/>
  <c r="M621"/>
  <c r="L606"/>
  <c r="M610"/>
  <c r="M602" s="1"/>
  <c r="M705"/>
  <c r="M700" s="1"/>
  <c r="S293" l="1"/>
  <c r="T293" s="1"/>
  <c r="M606"/>
  <c r="Q823"/>
  <c r="R310"/>
  <c r="Q708"/>
  <c r="Q613"/>
  <c r="F247" i="39"/>
  <c r="O398" i="36"/>
  <c r="D19" i="39"/>
  <c r="E19"/>
  <c r="C19"/>
  <c r="Q188" i="36"/>
  <c r="R188" s="1"/>
  <c r="S188" s="1"/>
  <c r="T188" s="1"/>
  <c r="P610"/>
  <c r="P489"/>
  <c r="Q1221"/>
  <c r="R1221"/>
  <c r="S1221"/>
  <c r="T1221"/>
  <c r="P1221"/>
  <c r="R613" l="1"/>
  <c r="R708"/>
  <c r="S310"/>
  <c r="R823"/>
  <c r="T310" l="1"/>
  <c r="S708"/>
  <c r="S613"/>
  <c r="S823"/>
  <c r="D545" i="39"/>
  <c r="E545"/>
  <c r="F545"/>
  <c r="G545"/>
  <c r="H545"/>
  <c r="I545"/>
  <c r="J545"/>
  <c r="K545"/>
  <c r="C545"/>
  <c r="P773" i="36"/>
  <c r="T613" l="1"/>
  <c r="T708"/>
  <c r="T823"/>
  <c r="E1034" i="39"/>
  <c r="C1034"/>
  <c r="D974"/>
  <c r="E974"/>
  <c r="C974"/>
  <c r="D856"/>
  <c r="E856"/>
  <c r="F856"/>
  <c r="G856"/>
  <c r="H856"/>
  <c r="I856"/>
  <c r="J856"/>
  <c r="K856"/>
  <c r="C856"/>
  <c r="D548"/>
  <c r="E548"/>
  <c r="F548"/>
  <c r="G548"/>
  <c r="H548"/>
  <c r="I548"/>
  <c r="J548"/>
  <c r="K548"/>
  <c r="C548"/>
  <c r="D549"/>
  <c r="E549"/>
  <c r="F549"/>
  <c r="G549"/>
  <c r="H549"/>
  <c r="I549"/>
  <c r="J549"/>
  <c r="K549"/>
  <c r="C549"/>
  <c r="D447"/>
  <c r="E447"/>
  <c r="F447"/>
  <c r="D396"/>
  <c r="E396"/>
  <c r="F396"/>
  <c r="G396"/>
  <c r="H396"/>
  <c r="I396"/>
  <c r="J396"/>
  <c r="K396"/>
  <c r="C396"/>
  <c r="D398"/>
  <c r="E398"/>
  <c r="F398"/>
  <c r="G398"/>
  <c r="H398"/>
  <c r="I398"/>
  <c r="J398"/>
  <c r="K398"/>
  <c r="C398"/>
  <c r="D390"/>
  <c r="E390"/>
  <c r="F390"/>
  <c r="G390"/>
  <c r="C390"/>
  <c r="D254"/>
  <c r="E254"/>
  <c r="F254"/>
  <c r="C254"/>
  <c r="P678" i="36" l="1"/>
  <c r="P270" l="1"/>
  <c r="P271"/>
  <c r="K390" i="39"/>
  <c r="J390"/>
  <c r="I390"/>
  <c r="H390"/>
  <c r="O269" i="36"/>
  <c r="L532"/>
  <c r="M551"/>
  <c r="N551"/>
  <c r="L551"/>
  <c r="T590" l="1"/>
  <c r="S590"/>
  <c r="R590"/>
  <c r="Q590"/>
  <c r="O109" l="1"/>
  <c r="O108"/>
  <c r="O80"/>
  <c r="O78"/>
  <c r="O77"/>
  <c r="O76"/>
  <c r="O404" l="1"/>
  <c r="P404"/>
  <c r="Q404"/>
  <c r="R404"/>
  <c r="S404"/>
  <c r="T404"/>
  <c r="O261"/>
  <c r="F180" i="40" s="1"/>
  <c r="P259" i="36"/>
  <c r="Q259" s="1"/>
  <c r="R259" s="1"/>
  <c r="S259" s="1"/>
  <c r="T259" s="1"/>
  <c r="F258" i="39" l="1"/>
  <c r="R60" i="36"/>
  <c r="I258" i="39"/>
  <c r="S60" i="36"/>
  <c r="J258" i="39"/>
  <c r="T60" i="36"/>
  <c r="K258" i="39"/>
  <c r="P60" i="36"/>
  <c r="G258" i="39"/>
  <c r="Q60" i="36"/>
  <c r="H258" i="39"/>
  <c r="O60" i="36"/>
  <c r="Q10"/>
  <c r="G19" i="39" l="1"/>
  <c r="J19"/>
  <c r="H19"/>
  <c r="K19"/>
  <c r="I19"/>
  <c r="R10" i="36"/>
  <c r="F19" i="39"/>
  <c r="P22" i="36"/>
  <c r="P12"/>
  <c r="Q12" s="1"/>
  <c r="R12" s="1"/>
  <c r="S12" s="1"/>
  <c r="T12" s="1"/>
  <c r="P11"/>
  <c r="T706"/>
  <c r="T611"/>
  <c r="P28"/>
  <c r="Q28" l="1"/>
  <c r="S10"/>
  <c r="Q22"/>
  <c r="P260"/>
  <c r="Q11"/>
  <c r="R11"/>
  <c r="S11"/>
  <c r="R28" l="1"/>
  <c r="T11"/>
  <c r="T10"/>
  <c r="R22"/>
  <c r="Q260"/>
  <c r="S28" l="1"/>
  <c r="S22"/>
  <c r="R260"/>
  <c r="T28" l="1"/>
  <c r="T22"/>
  <c r="S260"/>
  <c r="N1213"/>
  <c r="M1213"/>
  <c r="M215"/>
  <c r="T260" l="1"/>
  <c r="Q1244"/>
  <c r="P829"/>
  <c r="P336"/>
  <c r="P249"/>
  <c r="P95"/>
  <c r="S1243" l="1"/>
  <c r="R1243"/>
  <c r="G162" i="39"/>
  <c r="Q1243" i="36"/>
  <c r="Q1245" s="1"/>
  <c r="Q249"/>
  <c r="Q1239"/>
  <c r="Q1250" s="1"/>
  <c r="O551"/>
  <c r="T504"/>
  <c r="T503"/>
  <c r="O504"/>
  <c r="O503"/>
  <c r="T492"/>
  <c r="T491"/>
  <c r="T1214" s="1"/>
  <c r="O492"/>
  <c r="O1215" s="1"/>
  <c r="O491"/>
  <c r="O1214" l="1"/>
  <c r="F451" i="39"/>
  <c r="R249" i="36"/>
  <c r="Q1237"/>
  <c r="Q1248" s="1"/>
  <c r="R1239"/>
  <c r="L120"/>
  <c r="T653"/>
  <c r="T1215" s="1"/>
  <c r="S653"/>
  <c r="R653"/>
  <c r="Q653"/>
  <c r="P653"/>
  <c r="J451" i="39" l="1"/>
  <c r="H451"/>
  <c r="I451"/>
  <c r="G451"/>
  <c r="K451"/>
  <c r="S249" i="36"/>
  <c r="S1239"/>
  <c r="O1213"/>
  <c r="R740"/>
  <c r="Q740"/>
  <c r="P740"/>
  <c r="T740"/>
  <c r="S740"/>
  <c r="Q551" l="1"/>
  <c r="P551"/>
  <c r="T1213"/>
  <c r="S551"/>
  <c r="R551"/>
  <c r="T249"/>
  <c r="T551"/>
  <c r="D895" i="39"/>
  <c r="E895"/>
  <c r="F895"/>
  <c r="G895"/>
  <c r="H895"/>
  <c r="I895"/>
  <c r="J895"/>
  <c r="K895"/>
  <c r="C895"/>
  <c r="D854"/>
  <c r="E854"/>
  <c r="F854"/>
  <c r="D857"/>
  <c r="E857"/>
  <c r="F857"/>
  <c r="G857"/>
  <c r="H857"/>
  <c r="I857"/>
  <c r="J857"/>
  <c r="K857"/>
  <c r="C857"/>
  <c r="D848"/>
  <c r="E848"/>
  <c r="F848"/>
  <c r="G848"/>
  <c r="H848"/>
  <c r="I848"/>
  <c r="J848"/>
  <c r="K848"/>
  <c r="C848"/>
  <c r="D556"/>
  <c r="E556"/>
  <c r="F556"/>
  <c r="G556"/>
  <c r="H556"/>
  <c r="I556"/>
  <c r="J556"/>
  <c r="K556"/>
  <c r="C556"/>
  <c r="E40"/>
  <c r="M1127" i="36"/>
  <c r="N1127"/>
  <c r="L1127"/>
  <c r="M1219"/>
  <c r="N1219"/>
  <c r="O1219"/>
  <c r="M1201"/>
  <c r="M1202" s="1"/>
  <c r="N1201"/>
  <c r="O1201"/>
  <c r="Q1201"/>
  <c r="R1201"/>
  <c r="S1201"/>
  <c r="T1201"/>
  <c r="M1184"/>
  <c r="N1184"/>
  <c r="O1184"/>
  <c r="L1184"/>
  <c r="M1182"/>
  <c r="N1182"/>
  <c r="O1182"/>
  <c r="M1177"/>
  <c r="N1177"/>
  <c r="O1177"/>
  <c r="R268"/>
  <c r="Q268"/>
  <c r="N1202" l="1"/>
  <c r="Q1202"/>
  <c r="O1202"/>
  <c r="P1202"/>
  <c r="R1202"/>
  <c r="P268"/>
  <c r="Q267"/>
  <c r="R267"/>
  <c r="S267"/>
  <c r="T267"/>
  <c r="P267"/>
  <c r="O1276"/>
  <c r="O1275" s="1"/>
  <c r="O1273"/>
  <c r="O1272"/>
  <c r="O1269"/>
  <c r="O1268"/>
  <c r="O1267"/>
  <c r="O1264"/>
  <c r="O1263"/>
  <c r="O1262"/>
  <c r="O1261"/>
  <c r="O1258"/>
  <c r="O1257"/>
  <c r="O1256"/>
  <c r="O1255"/>
  <c r="O1226"/>
  <c r="O1225"/>
  <c r="O1230" s="1"/>
  <c r="O1220"/>
  <c r="O1231" s="1"/>
  <c r="O1196"/>
  <c r="O1195"/>
  <c r="O1192"/>
  <c r="O1190"/>
  <c r="O1186"/>
  <c r="O1188" s="1"/>
  <c r="O1179"/>
  <c r="O1178"/>
  <c r="O1175"/>
  <c r="O1145"/>
  <c r="O1116"/>
  <c r="O1084"/>
  <c r="O1073"/>
  <c r="O1059"/>
  <c r="O1041"/>
  <c r="O1028"/>
  <c r="O1019"/>
  <c r="O1008"/>
  <c r="O996"/>
  <c r="O981"/>
  <c r="O980"/>
  <c r="O972"/>
  <c r="O943"/>
  <c r="O918"/>
  <c r="O892"/>
  <c r="O868"/>
  <c r="O830"/>
  <c r="O803"/>
  <c r="O781"/>
  <c r="O767"/>
  <c r="O742"/>
  <c r="O681"/>
  <c r="O655"/>
  <c r="O576"/>
  <c r="O532"/>
  <c r="O507"/>
  <c r="O493"/>
  <c r="O481"/>
  <c r="O473"/>
  <c r="O405"/>
  <c r="O442" s="1"/>
  <c r="O444"/>
  <c r="O367"/>
  <c r="O363"/>
  <c r="O351"/>
  <c r="O312"/>
  <c r="O307"/>
  <c r="O295"/>
  <c r="O289"/>
  <c r="O273"/>
  <c r="O234"/>
  <c r="O228"/>
  <c r="O195"/>
  <c r="O166"/>
  <c r="O122"/>
  <c r="O62"/>
  <c r="O513" l="1"/>
  <c r="F1069" i="39"/>
  <c r="O446" i="36"/>
  <c r="O1134"/>
  <c r="O517"/>
  <c r="O515"/>
  <c r="F952" i="39"/>
  <c r="O553" i="36"/>
  <c r="O744"/>
  <c r="O369"/>
  <c r="O1198"/>
  <c r="O1180"/>
  <c r="O983"/>
  <c r="O1260"/>
  <c r="O297"/>
  <c r="O353"/>
  <c r="O438"/>
  <c r="O1099"/>
  <c r="O1254"/>
  <c r="O1030"/>
  <c r="O1271"/>
  <c r="O236"/>
  <c r="O276" s="1"/>
  <c r="O920"/>
  <c r="O1061"/>
  <c r="O1227"/>
  <c r="O314"/>
  <c r="O870"/>
  <c r="O1086"/>
  <c r="O657"/>
  <c r="O783"/>
  <c r="O1010"/>
  <c r="O1232"/>
  <c r="O1233" s="1"/>
  <c r="O1266"/>
  <c r="O509"/>
  <c r="O1222"/>
  <c r="O555" l="1"/>
  <c r="O440"/>
  <c r="O746"/>
  <c r="O1012"/>
  <c r="O1063"/>
  <c r="O355"/>
  <c r="O659"/>
  <c r="O316"/>
  <c r="O1097"/>
  <c r="O1088"/>
  <c r="O1032"/>
  <c r="O511"/>
  <c r="O1136"/>
  <c r="O299"/>
  <c r="O1204"/>
  <c r="O1210"/>
  <c r="F966" i="39"/>
  <c r="F57" i="51"/>
  <c r="O519" i="36"/>
  <c r="O785"/>
  <c r="O1101"/>
  <c r="O1100"/>
  <c r="O1103"/>
  <c r="O1102"/>
  <c r="O1156"/>
  <c r="O1104"/>
  <c r="O1157"/>
  <c r="O985"/>
  <c r="O1105"/>
  <c r="O1095"/>
  <c r="O1094"/>
  <c r="O1118"/>
  <c r="O1143"/>
  <c r="O1096"/>
  <c r="O278"/>
  <c r="O872"/>
  <c r="O1098" l="1"/>
  <c r="O280"/>
  <c r="F970" i="39"/>
  <c r="O1139" i="36"/>
  <c r="O874"/>
  <c r="F1085" i="39"/>
  <c r="O987" i="36"/>
  <c r="O1155"/>
  <c r="O1159" s="1"/>
  <c r="O1093"/>
  <c r="O1135"/>
  <c r="O1138" s="1"/>
  <c r="O1124"/>
  <c r="O1166"/>
  <c r="O1165"/>
  <c r="O1122"/>
  <c r="O1120"/>
  <c r="O660"/>
  <c r="O1160"/>
  <c r="O1123"/>
  <c r="O1121"/>
  <c r="O747"/>
  <c r="O1119"/>
  <c r="O1117"/>
  <c r="O1114"/>
  <c r="O317"/>
  <c r="O1115"/>
  <c r="O1113"/>
  <c r="O300"/>
  <c r="O1108"/>
  <c r="O1107" l="1"/>
  <c r="O1127"/>
  <c r="O1112"/>
  <c r="O281"/>
  <c r="F974" i="39"/>
  <c r="O988" i="36"/>
  <c r="O1169"/>
  <c r="O1164"/>
  <c r="O1144"/>
  <c r="O875"/>
  <c r="O1148"/>
  <c r="O1161"/>
  <c r="O1140"/>
  <c r="N62"/>
  <c r="N122"/>
  <c r="N166"/>
  <c r="N195"/>
  <c r="N228"/>
  <c r="N234"/>
  <c r="N273"/>
  <c r="N289"/>
  <c r="N295"/>
  <c r="N307"/>
  <c r="N312"/>
  <c r="N351"/>
  <c r="N363"/>
  <c r="N367"/>
  <c r="N405"/>
  <c r="N473"/>
  <c r="N481"/>
  <c r="N493"/>
  <c r="N507"/>
  <c r="N532"/>
  <c r="N576"/>
  <c r="N655"/>
  <c r="N681"/>
  <c r="N742"/>
  <c r="N767"/>
  <c r="N781"/>
  <c r="N803"/>
  <c r="N830"/>
  <c r="N868"/>
  <c r="N892"/>
  <c r="N918"/>
  <c r="N943"/>
  <c r="N972"/>
  <c r="N980"/>
  <c r="N981"/>
  <c r="N996"/>
  <c r="N1008"/>
  <c r="N1019"/>
  <c r="N1028"/>
  <c r="N1041"/>
  <c r="N1059"/>
  <c r="N1073"/>
  <c r="N1084"/>
  <c r="N1112"/>
  <c r="N1113"/>
  <c r="N1114"/>
  <c r="N1115"/>
  <c r="N1116"/>
  <c r="N1118"/>
  <c r="N1117"/>
  <c r="N1119"/>
  <c r="N1120"/>
  <c r="N1121"/>
  <c r="N1122"/>
  <c r="N1123"/>
  <c r="N1124"/>
  <c r="N1143"/>
  <c r="N1144"/>
  <c r="N1145"/>
  <c r="N1148"/>
  <c r="N1164"/>
  <c r="N1165"/>
  <c r="N1166"/>
  <c r="N1169"/>
  <c r="N1175"/>
  <c r="N1178"/>
  <c r="N1179"/>
  <c r="N1186"/>
  <c r="N1188" s="1"/>
  <c r="N1190"/>
  <c r="N1192"/>
  <c r="N1195"/>
  <c r="N1196"/>
  <c r="N1220"/>
  <c r="N1231" s="1"/>
  <c r="N1225"/>
  <c r="N1226"/>
  <c r="N1255"/>
  <c r="N1256"/>
  <c r="N1257"/>
  <c r="N1258"/>
  <c r="N1261"/>
  <c r="N1262"/>
  <c r="N1263"/>
  <c r="N1264"/>
  <c r="N1267"/>
  <c r="N1268"/>
  <c r="N1269"/>
  <c r="N1272"/>
  <c r="N1273"/>
  <c r="N1276"/>
  <c r="O1109" l="1"/>
  <c r="N317"/>
  <c r="N660"/>
  <c r="O1168"/>
  <c r="N1134"/>
  <c r="O1126"/>
  <c r="E1069" i="39"/>
  <c r="N1168" i="36"/>
  <c r="E952" i="39"/>
  <c r="N300" i="36"/>
  <c r="O1147"/>
  <c r="N983"/>
  <c r="N1180"/>
  <c r="N1030"/>
  <c r="N1086"/>
  <c r="N1271"/>
  <c r="N1198"/>
  <c r="N1227"/>
  <c r="N920"/>
  <c r="N1232"/>
  <c r="N1061"/>
  <c r="N870"/>
  <c r="N783"/>
  <c r="N1230"/>
  <c r="N1147"/>
  <c r="N1010"/>
  <c r="N369"/>
  <c r="N1222"/>
  <c r="N744"/>
  <c r="N553"/>
  <c r="N509"/>
  <c r="N1275"/>
  <c r="N438"/>
  <c r="N1266"/>
  <c r="N1254"/>
  <c r="N1260"/>
  <c r="N353"/>
  <c r="N314"/>
  <c r="N236"/>
  <c r="N276" s="1"/>
  <c r="N657"/>
  <c r="N1126"/>
  <c r="N1099"/>
  <c r="N747"/>
  <c r="N297"/>
  <c r="N1095" l="1"/>
  <c r="O1170"/>
  <c r="N1157"/>
  <c r="N1094"/>
  <c r="N1096"/>
  <c r="N1100"/>
  <c r="N1156"/>
  <c r="N988"/>
  <c r="O1149"/>
  <c r="N511"/>
  <c r="N1097"/>
  <c r="N1136"/>
  <c r="E1033" i="39"/>
  <c r="N1101" i="36"/>
  <c r="N440"/>
  <c r="N1102"/>
  <c r="N1149"/>
  <c r="N1104"/>
  <c r="N1105"/>
  <c r="O1128"/>
  <c r="N1204"/>
  <c r="N1210"/>
  <c r="E966" i="39"/>
  <c r="N872" i="36"/>
  <c r="N875"/>
  <c r="N1170"/>
  <c r="N1103"/>
  <c r="N1233"/>
  <c r="N985"/>
  <c r="N281"/>
  <c r="N278"/>
  <c r="N1128"/>
  <c r="N1098" l="1"/>
  <c r="N1093"/>
  <c r="N1155"/>
  <c r="N1159" s="1"/>
  <c r="E970" i="39"/>
  <c r="N1139" i="36"/>
  <c r="E1085" i="39"/>
  <c r="N1135" i="36"/>
  <c r="N1138" s="1"/>
  <c r="N1160"/>
  <c r="N1108"/>
  <c r="N1107" l="1"/>
  <c r="N1109" s="1"/>
  <c r="N1140"/>
  <c r="L1073"/>
  <c r="M1059"/>
  <c r="P1041"/>
  <c r="L1041"/>
  <c r="T268" l="1"/>
  <c r="S268"/>
  <c r="S1276"/>
  <c r="S1273"/>
  <c r="S1272"/>
  <c r="S1269"/>
  <c r="S1268"/>
  <c r="S1267"/>
  <c r="S1264"/>
  <c r="S1263"/>
  <c r="S1262"/>
  <c r="S1261"/>
  <c r="S1258"/>
  <c r="S1257"/>
  <c r="S1256"/>
  <c r="S1255"/>
  <c r="S1226"/>
  <c r="S1225"/>
  <c r="S1179"/>
  <c r="S1178"/>
  <c r="S1175"/>
  <c r="S1145"/>
  <c r="S1116"/>
  <c r="S1078"/>
  <c r="S1073"/>
  <c r="S1046"/>
  <c r="S1041"/>
  <c r="S1028"/>
  <c r="S1019"/>
  <c r="S1008"/>
  <c r="S996"/>
  <c r="S981"/>
  <c r="S980"/>
  <c r="S972"/>
  <c r="S941"/>
  <c r="S918"/>
  <c r="S892"/>
  <c r="S867"/>
  <c r="S865"/>
  <c r="S828"/>
  <c r="S826"/>
  <c r="S825"/>
  <c r="S271"/>
  <c r="S799"/>
  <c r="S781"/>
  <c r="S767"/>
  <c r="S574"/>
  <c r="S713"/>
  <c r="S711"/>
  <c r="S694"/>
  <c r="S678"/>
  <c r="S625"/>
  <c r="S620"/>
  <c r="S616"/>
  <c r="S597"/>
  <c r="S591"/>
  <c r="S532"/>
  <c r="S506"/>
  <c r="S504"/>
  <c r="S503"/>
  <c r="S492"/>
  <c r="S491"/>
  <c r="S477"/>
  <c r="S462"/>
  <c r="S461"/>
  <c r="S143"/>
  <c r="S409"/>
  <c r="S405"/>
  <c r="S396"/>
  <c r="S365"/>
  <c r="S361"/>
  <c r="S312"/>
  <c r="S307"/>
  <c r="S295"/>
  <c r="S289"/>
  <c r="S263"/>
  <c r="S261"/>
  <c r="S256"/>
  <c r="S239"/>
  <c r="S209"/>
  <c r="S148"/>
  <c r="S146"/>
  <c r="S84"/>
  <c r="S83"/>
  <c r="R1276"/>
  <c r="R1273"/>
  <c r="R1272"/>
  <c r="R1264"/>
  <c r="R1263"/>
  <c r="R1262"/>
  <c r="R1261"/>
  <c r="R1258"/>
  <c r="R1257"/>
  <c r="R1256"/>
  <c r="R1255"/>
  <c r="R1226"/>
  <c r="R1225"/>
  <c r="R1179"/>
  <c r="R1178"/>
  <c r="R1175"/>
  <c r="R1145"/>
  <c r="R1116"/>
  <c r="R1078"/>
  <c r="R1073"/>
  <c r="R1046"/>
  <c r="R1041"/>
  <c r="R1028"/>
  <c r="R1019"/>
  <c r="R1008"/>
  <c r="R996"/>
  <c r="R981"/>
  <c r="R980"/>
  <c r="R972"/>
  <c r="R941"/>
  <c r="R918"/>
  <c r="R892"/>
  <c r="R867"/>
  <c r="R865"/>
  <c r="R828"/>
  <c r="R826"/>
  <c r="R825"/>
  <c r="R817"/>
  <c r="R799"/>
  <c r="R781"/>
  <c r="R767"/>
  <c r="R574"/>
  <c r="R713"/>
  <c r="R711"/>
  <c r="R694"/>
  <c r="R678"/>
  <c r="R625"/>
  <c r="R620"/>
  <c r="R616"/>
  <c r="R597"/>
  <c r="R591"/>
  <c r="R532"/>
  <c r="R506"/>
  <c r="R504"/>
  <c r="R503"/>
  <c r="R492"/>
  <c r="R491"/>
  <c r="R477"/>
  <c r="R461"/>
  <c r="R143"/>
  <c r="R428"/>
  <c r="R409"/>
  <c r="R405"/>
  <c r="R396"/>
  <c r="R378"/>
  <c r="R365"/>
  <c r="R361"/>
  <c r="R312"/>
  <c r="R307"/>
  <c r="R295"/>
  <c r="R289"/>
  <c r="R263"/>
  <c r="R261"/>
  <c r="R256"/>
  <c r="R239"/>
  <c r="R209"/>
  <c r="R148"/>
  <c r="R146"/>
  <c r="R84"/>
  <c r="R83"/>
  <c r="Q1276"/>
  <c r="Q1273"/>
  <c r="Q1272"/>
  <c r="Q1264"/>
  <c r="Q1263"/>
  <c r="Q1262"/>
  <c r="Q1258"/>
  <c r="Q1257"/>
  <c r="Q1256"/>
  <c r="Q1255"/>
  <c r="Q1226"/>
  <c r="Q1225"/>
  <c r="Q1179"/>
  <c r="Q1178"/>
  <c r="Q1175"/>
  <c r="Q1145"/>
  <c r="Q1116"/>
  <c r="Q1078"/>
  <c r="Q1073"/>
  <c r="Q1046"/>
  <c r="Q1041"/>
  <c r="Q1028"/>
  <c r="Q1019"/>
  <c r="Q1008"/>
  <c r="Q996"/>
  <c r="Q981"/>
  <c r="Q980"/>
  <c r="Q972"/>
  <c r="Q941"/>
  <c r="Q918"/>
  <c r="Q892"/>
  <c r="Q867"/>
  <c r="Q865"/>
  <c r="Q828"/>
  <c r="Q826"/>
  <c r="Q825"/>
  <c r="Q803"/>
  <c r="Q781"/>
  <c r="Q767"/>
  <c r="Q574"/>
  <c r="Q713"/>
  <c r="Q711"/>
  <c r="Q694"/>
  <c r="Q678"/>
  <c r="Q625"/>
  <c r="Q620"/>
  <c r="Q616"/>
  <c r="Q597"/>
  <c r="Q591"/>
  <c r="Q532"/>
  <c r="Q506"/>
  <c r="Q504"/>
  <c r="Q503"/>
  <c r="Q492"/>
  <c r="Q491"/>
  <c r="Q489"/>
  <c r="Q477"/>
  <c r="Q470"/>
  <c r="Q462"/>
  <c r="Q208"/>
  <c r="Q143"/>
  <c r="Q428"/>
  <c r="Q409"/>
  <c r="Q396"/>
  <c r="Q378"/>
  <c r="Q365"/>
  <c r="Q361"/>
  <c r="Q345"/>
  <c r="Q312"/>
  <c r="Q307"/>
  <c r="Q295"/>
  <c r="Q289"/>
  <c r="Q263"/>
  <c r="Q261"/>
  <c r="Q256"/>
  <c r="Q239"/>
  <c r="Q209"/>
  <c r="Q148"/>
  <c r="Q146"/>
  <c r="Q112"/>
  <c r="Q84"/>
  <c r="Q83"/>
  <c r="P1276"/>
  <c r="P1273"/>
  <c r="P1272"/>
  <c r="P1267"/>
  <c r="P1264"/>
  <c r="P1263"/>
  <c r="P1262"/>
  <c r="P1258"/>
  <c r="P1257"/>
  <c r="P1256"/>
  <c r="P1255"/>
  <c r="P1226"/>
  <c r="P1225"/>
  <c r="P1179"/>
  <c r="P1178"/>
  <c r="P1175"/>
  <c r="P1145"/>
  <c r="P1116"/>
  <c r="P1080"/>
  <c r="P1078"/>
  <c r="P1073"/>
  <c r="P1046"/>
  <c r="P1028"/>
  <c r="P1019"/>
  <c r="P1008"/>
  <c r="P996"/>
  <c r="P981"/>
  <c r="P980"/>
  <c r="P972"/>
  <c r="P964"/>
  <c r="P1192"/>
  <c r="P1190"/>
  <c r="P941"/>
  <c r="P918"/>
  <c r="P892"/>
  <c r="P867"/>
  <c r="Q866"/>
  <c r="R866" s="1"/>
  <c r="S866" s="1"/>
  <c r="P865"/>
  <c r="Q853"/>
  <c r="R853" s="1"/>
  <c r="S853" s="1"/>
  <c r="Q829"/>
  <c r="P828"/>
  <c r="P826"/>
  <c r="P825"/>
  <c r="P803"/>
  <c r="P781"/>
  <c r="P767"/>
  <c r="P574"/>
  <c r="P716"/>
  <c r="P713"/>
  <c r="P711"/>
  <c r="Q701"/>
  <c r="R701" s="1"/>
  <c r="S701" s="1"/>
  <c r="Q699"/>
  <c r="R699" s="1"/>
  <c r="S699" s="1"/>
  <c r="P694"/>
  <c r="Q693"/>
  <c r="R693" s="1"/>
  <c r="S693" s="1"/>
  <c r="P681"/>
  <c r="P625"/>
  <c r="P622"/>
  <c r="P620"/>
  <c r="P616"/>
  <c r="Q605"/>
  <c r="R605" s="1"/>
  <c r="S605" s="1"/>
  <c r="P597"/>
  <c r="P591"/>
  <c r="P589"/>
  <c r="P571"/>
  <c r="P532"/>
  <c r="P506"/>
  <c r="P504"/>
  <c r="P503"/>
  <c r="P492"/>
  <c r="P491"/>
  <c r="P477"/>
  <c r="P817"/>
  <c r="P208"/>
  <c r="P409"/>
  <c r="P405"/>
  <c r="P442" s="1"/>
  <c r="P365"/>
  <c r="P361"/>
  <c r="P345"/>
  <c r="P312"/>
  <c r="P307"/>
  <c r="P295"/>
  <c r="P289"/>
  <c r="P263"/>
  <c r="P261"/>
  <c r="P256"/>
  <c r="P239"/>
  <c r="P227"/>
  <c r="Q227" s="1"/>
  <c r="R227" s="1"/>
  <c r="S227" s="1"/>
  <c r="P221"/>
  <c r="Q221" s="1"/>
  <c r="R221" s="1"/>
  <c r="S221" s="1"/>
  <c r="P213"/>
  <c r="Q213" s="1"/>
  <c r="R213" s="1"/>
  <c r="S213" s="1"/>
  <c r="P209"/>
  <c r="Q194"/>
  <c r="R194" s="1"/>
  <c r="S194" s="1"/>
  <c r="Q164"/>
  <c r="R164" s="1"/>
  <c r="S164" s="1"/>
  <c r="P148"/>
  <c r="P146"/>
  <c r="P112"/>
  <c r="Q95"/>
  <c r="R95" s="1"/>
  <c r="S95" s="1"/>
  <c r="P84"/>
  <c r="P83"/>
  <c r="P234"/>
  <c r="P1196"/>
  <c r="L1273"/>
  <c r="L1272"/>
  <c r="L1269"/>
  <c r="L1268"/>
  <c r="L1267"/>
  <c r="L1264"/>
  <c r="L1263"/>
  <c r="L1262"/>
  <c r="L1261"/>
  <c r="L1258"/>
  <c r="L1257"/>
  <c r="L1256"/>
  <c r="L1255"/>
  <c r="L1226"/>
  <c r="L1225"/>
  <c r="L1231"/>
  <c r="L1196"/>
  <c r="L1195"/>
  <c r="L1192"/>
  <c r="L1190"/>
  <c r="L1186"/>
  <c r="L1188" s="1"/>
  <c r="L1178"/>
  <c r="L1175"/>
  <c r="L1169"/>
  <c r="L1166"/>
  <c r="L1165"/>
  <c r="L1164"/>
  <c r="L1148"/>
  <c r="L1145"/>
  <c r="L1144"/>
  <c r="L1143"/>
  <c r="L1124"/>
  <c r="L1123"/>
  <c r="L1122"/>
  <c r="L1121"/>
  <c r="L1120"/>
  <c r="L1119"/>
  <c r="L1117"/>
  <c r="L1118"/>
  <c r="L1116"/>
  <c r="L1115"/>
  <c r="L1114"/>
  <c r="L1113"/>
  <c r="L1112"/>
  <c r="L1078"/>
  <c r="L1046"/>
  <c r="L1028"/>
  <c r="L1019"/>
  <c r="L1008"/>
  <c r="L996"/>
  <c r="L983"/>
  <c r="L943"/>
  <c r="L918"/>
  <c r="L892"/>
  <c r="L868"/>
  <c r="L830"/>
  <c r="L803"/>
  <c r="L781"/>
  <c r="L767"/>
  <c r="L742"/>
  <c r="L681"/>
  <c r="L610"/>
  <c r="L609" s="1"/>
  <c r="L576"/>
  <c r="L507"/>
  <c r="L493"/>
  <c r="L481"/>
  <c r="L473"/>
  <c r="L405"/>
  <c r="L367"/>
  <c r="L363"/>
  <c r="L351"/>
  <c r="L312"/>
  <c r="L307"/>
  <c r="L295"/>
  <c r="L289"/>
  <c r="L242"/>
  <c r="L234"/>
  <c r="L228"/>
  <c r="L195"/>
  <c r="L166"/>
  <c r="L122"/>
  <c r="L62"/>
  <c r="P1214" l="1"/>
  <c r="Q1214"/>
  <c r="S1215"/>
  <c r="Q1215"/>
  <c r="R1214"/>
  <c r="S1214"/>
  <c r="P1215"/>
  <c r="R1215"/>
  <c r="Q389"/>
  <c r="R389"/>
  <c r="L1099"/>
  <c r="G449" i="39"/>
  <c r="I449"/>
  <c r="H243"/>
  <c r="H449"/>
  <c r="I243"/>
  <c r="R1084" i="36"/>
  <c r="S367"/>
  <c r="P367"/>
  <c r="Q622"/>
  <c r="P943"/>
  <c r="Q943"/>
  <c r="S436"/>
  <c r="S438" s="1"/>
  <c r="J439" i="39"/>
  <c r="S943" i="36"/>
  <c r="L988"/>
  <c r="H439" i="39"/>
  <c r="Q367" i="36"/>
  <c r="Q1084"/>
  <c r="S1084"/>
  <c r="Q716"/>
  <c r="R829"/>
  <c r="L317"/>
  <c r="L923"/>
  <c r="L1084"/>
  <c r="P436"/>
  <c r="L655"/>
  <c r="G439" i="39"/>
  <c r="Q964" i="36"/>
  <c r="R367"/>
  <c r="I439" i="39"/>
  <c r="R943" i="36"/>
  <c r="S398"/>
  <c r="L1198"/>
  <c r="L1199" s="1"/>
  <c r="P398"/>
  <c r="P507"/>
  <c r="I254" i="39"/>
  <c r="R436" i="36"/>
  <c r="R438" s="1"/>
  <c r="H254" i="39"/>
  <c r="Q436" i="36"/>
  <c r="L1177"/>
  <c r="L1180" s="1"/>
  <c r="G254" i="39"/>
  <c r="Q1267" i="36"/>
  <c r="G180" i="40"/>
  <c r="Q1268" i="36"/>
  <c r="G247" i="39"/>
  <c r="P1269" i="36"/>
  <c r="P1220"/>
  <c r="P1231" s="1"/>
  <c r="R208"/>
  <c r="S208"/>
  <c r="L747"/>
  <c r="R1244"/>
  <c r="Q589"/>
  <c r="P1173"/>
  <c r="J449" i="39"/>
  <c r="Q250" i="36"/>
  <c r="R250" s="1"/>
  <c r="S250" s="1"/>
  <c r="J180" i="40" s="1"/>
  <c r="C1069" i="39"/>
  <c r="H447"/>
  <c r="I447"/>
  <c r="L1134" i="36"/>
  <c r="H1069" i="39"/>
  <c r="S681" i="36"/>
  <c r="S270"/>
  <c r="Q681"/>
  <c r="Q270"/>
  <c r="R681"/>
  <c r="R270"/>
  <c r="C447" i="39"/>
  <c r="J254"/>
  <c r="G447"/>
  <c r="G1069"/>
  <c r="J447"/>
  <c r="P1261" i="36"/>
  <c r="R1267"/>
  <c r="Q1261"/>
  <c r="Q1260" s="1"/>
  <c r="S817"/>
  <c r="Q817"/>
  <c r="P272"/>
  <c r="R1059"/>
  <c r="I854" i="39"/>
  <c r="C952"/>
  <c r="Q1059" i="36"/>
  <c r="H854" i="39"/>
  <c r="L1059" i="36"/>
  <c r="C854" i="39"/>
  <c r="P1059" i="36"/>
  <c r="G854" i="39"/>
  <c r="S1059" i="36"/>
  <c r="J854" i="39"/>
  <c r="Q363" i="36"/>
  <c r="P1184"/>
  <c r="P1219"/>
  <c r="P1182"/>
  <c r="P1177"/>
  <c r="P1180" s="1"/>
  <c r="S1232"/>
  <c r="S481"/>
  <c r="S1227"/>
  <c r="S1271"/>
  <c r="R783"/>
  <c r="L314"/>
  <c r="L236"/>
  <c r="P1010"/>
  <c r="R803"/>
  <c r="L744"/>
  <c r="P920"/>
  <c r="Q405"/>
  <c r="Q442" s="1"/>
  <c r="R473"/>
  <c r="S783"/>
  <c r="S1010"/>
  <c r="L920"/>
  <c r="Q1030"/>
  <c r="Q1271"/>
  <c r="L1010"/>
  <c r="R481"/>
  <c r="R1030"/>
  <c r="L985"/>
  <c r="L1147"/>
  <c r="P1186"/>
  <c r="P1232"/>
  <c r="Q271"/>
  <c r="Q783"/>
  <c r="P553"/>
  <c r="P1030"/>
  <c r="P1084"/>
  <c r="P1227"/>
  <c r="Q1227"/>
  <c r="L438"/>
  <c r="L1232"/>
  <c r="P576"/>
  <c r="Q493"/>
  <c r="R272"/>
  <c r="S297"/>
  <c r="P269"/>
  <c r="Q241"/>
  <c r="R1192"/>
  <c r="R271"/>
  <c r="R553"/>
  <c r="S473"/>
  <c r="L353"/>
  <c r="L870"/>
  <c r="L1260"/>
  <c r="P473"/>
  <c r="P481"/>
  <c r="Q272"/>
  <c r="Q481"/>
  <c r="Q553"/>
  <c r="R297"/>
  <c r="R1010"/>
  <c r="R1227"/>
  <c r="S1254"/>
  <c r="Q297"/>
  <c r="Q1010"/>
  <c r="R1271"/>
  <c r="S553"/>
  <c r="S803"/>
  <c r="L273"/>
  <c r="L1230"/>
  <c r="L1227"/>
  <c r="L1271"/>
  <c r="P351"/>
  <c r="P493"/>
  <c r="P655"/>
  <c r="P1271"/>
  <c r="Q314"/>
  <c r="R314"/>
  <c r="R1232"/>
  <c r="S269"/>
  <c r="S272"/>
  <c r="S1266"/>
  <c r="Q1186"/>
  <c r="Q1188" s="1"/>
  <c r="L369"/>
  <c r="L1168"/>
  <c r="P783"/>
  <c r="Q1195"/>
  <c r="Q920"/>
  <c r="R1260"/>
  <c r="S314"/>
  <c r="S507"/>
  <c r="S1260"/>
  <c r="L1254"/>
  <c r="P830"/>
  <c r="Q571"/>
  <c r="R269"/>
  <c r="R507"/>
  <c r="R1275"/>
  <c r="S920"/>
  <c r="S1275"/>
  <c r="L509"/>
  <c r="L553"/>
  <c r="L783"/>
  <c r="L1030"/>
  <c r="L1266"/>
  <c r="P314"/>
  <c r="P983"/>
  <c r="P1254"/>
  <c r="Q42"/>
  <c r="Q336"/>
  <c r="Q1232"/>
  <c r="Q1254"/>
  <c r="R920"/>
  <c r="R1254"/>
  <c r="S1030"/>
  <c r="S1220"/>
  <c r="S1231" s="1"/>
  <c r="S363"/>
  <c r="S493"/>
  <c r="R1220"/>
  <c r="R1231" s="1"/>
  <c r="R493"/>
  <c r="R1268"/>
  <c r="R363"/>
  <c r="Q1275"/>
  <c r="Q473"/>
  <c r="Q507"/>
  <c r="Q1220"/>
  <c r="Q1231" s="1"/>
  <c r="Q269"/>
  <c r="P228"/>
  <c r="P122"/>
  <c r="P143"/>
  <c r="P195"/>
  <c r="P363"/>
  <c r="P742"/>
  <c r="P868"/>
  <c r="P297"/>
  <c r="P1195"/>
  <c r="P1198" s="1"/>
  <c r="P1268"/>
  <c r="P1275"/>
  <c r="L300"/>
  <c r="L297"/>
  <c r="L1126"/>
  <c r="L1222"/>
  <c r="Q1086" l="1"/>
  <c r="L1086"/>
  <c r="R1086"/>
  <c r="R1105" s="1"/>
  <c r="P353"/>
  <c r="P1096" s="1"/>
  <c r="S1100"/>
  <c r="R1156"/>
  <c r="P555"/>
  <c r="R1157"/>
  <c r="Q1157"/>
  <c r="L1102"/>
  <c r="L1095"/>
  <c r="Q1061"/>
  <c r="P444"/>
  <c r="S829"/>
  <c r="R716"/>
  <c r="R742" s="1"/>
  <c r="R622"/>
  <c r="P369"/>
  <c r="S369"/>
  <c r="R1136"/>
  <c r="H162" i="39"/>
  <c r="P985" i="36"/>
  <c r="P1155" s="1"/>
  <c r="R1095"/>
  <c r="J1069" i="39"/>
  <c r="Q1100" i="36"/>
  <c r="L1096"/>
  <c r="L440"/>
  <c r="P1032"/>
  <c r="L1155"/>
  <c r="S1156"/>
  <c r="P1136"/>
  <c r="R1061"/>
  <c r="R398"/>
  <c r="Q398"/>
  <c r="P299"/>
  <c r="P316"/>
  <c r="Q1095"/>
  <c r="Q1094"/>
  <c r="L1094"/>
  <c r="Q1134"/>
  <c r="R369"/>
  <c r="L1100"/>
  <c r="S1136"/>
  <c r="L1097"/>
  <c r="Q1156"/>
  <c r="R1094"/>
  <c r="S1094"/>
  <c r="P1086"/>
  <c r="P1105" s="1"/>
  <c r="L1156"/>
  <c r="R442"/>
  <c r="P1012"/>
  <c r="Q369"/>
  <c r="S1061"/>
  <c r="S1244"/>
  <c r="S1250" s="1"/>
  <c r="S1086"/>
  <c r="L1157"/>
  <c r="S1134"/>
  <c r="Q1136"/>
  <c r="P1061"/>
  <c r="S1157"/>
  <c r="S1095"/>
  <c r="L1170"/>
  <c r="R1100"/>
  <c r="L1149"/>
  <c r="L1136"/>
  <c r="I1069" i="39"/>
  <c r="R589" i="36"/>
  <c r="R964"/>
  <c r="Q742"/>
  <c r="Q744" s="1"/>
  <c r="L660"/>
  <c r="P517"/>
  <c r="P1204"/>
  <c r="P1210"/>
  <c r="L1204"/>
  <c r="L1210"/>
  <c r="P1260"/>
  <c r="P1199"/>
  <c r="P236"/>
  <c r="P438"/>
  <c r="H180" i="40"/>
  <c r="I247" i="39"/>
  <c r="H247"/>
  <c r="I180" i="40"/>
  <c r="P1222" i="36"/>
  <c r="L875"/>
  <c r="P744"/>
  <c r="Q655"/>
  <c r="R1245"/>
  <c r="R1250"/>
  <c r="P1238"/>
  <c r="R241"/>
  <c r="Q1173"/>
  <c r="P1188"/>
  <c r="Q1213"/>
  <c r="P1213"/>
  <c r="P513"/>
  <c r="S1213"/>
  <c r="L657"/>
  <c r="Q1184"/>
  <c r="R1184"/>
  <c r="R1269"/>
  <c r="R1266" s="1"/>
  <c r="Q1182"/>
  <c r="R1182"/>
  <c r="P1134"/>
  <c r="P1266"/>
  <c r="R1134"/>
  <c r="Q1269"/>
  <c r="Q1266" s="1"/>
  <c r="Q1103"/>
  <c r="L1103"/>
  <c r="S1103"/>
  <c r="P785"/>
  <c r="R1103"/>
  <c r="R1213"/>
  <c r="P515"/>
  <c r="L1061"/>
  <c r="P1156"/>
  <c r="P1157"/>
  <c r="P1103"/>
  <c r="P1100"/>
  <c r="Q1099"/>
  <c r="P1095"/>
  <c r="L1233"/>
  <c r="Q1219"/>
  <c r="Q1230" s="1"/>
  <c r="Q1233" s="1"/>
  <c r="Q1177"/>
  <c r="Q1180" s="1"/>
  <c r="L276"/>
  <c r="P273"/>
  <c r="R1099"/>
  <c r="P1230"/>
  <c r="P1233" s="1"/>
  <c r="P1099"/>
  <c r="Q438"/>
  <c r="L872"/>
  <c r="P657"/>
  <c r="P62"/>
  <c r="L1160"/>
  <c r="Q62"/>
  <c r="Q1192"/>
  <c r="S1192"/>
  <c r="S440"/>
  <c r="L511"/>
  <c r="Q868"/>
  <c r="Q351"/>
  <c r="R336"/>
  <c r="Q830"/>
  <c r="Q122"/>
  <c r="Q232"/>
  <c r="Q234" s="1"/>
  <c r="R42"/>
  <c r="Q1196"/>
  <c r="Q1198" s="1"/>
  <c r="P509"/>
  <c r="S509"/>
  <c r="Q1190"/>
  <c r="R571"/>
  <c r="Q576"/>
  <c r="R1186"/>
  <c r="R1188" s="1"/>
  <c r="Q983"/>
  <c r="S1099"/>
  <c r="R509"/>
  <c r="Q509"/>
  <c r="P1094"/>
  <c r="P870"/>
  <c r="P166"/>
  <c r="L1128"/>
  <c r="Q1105" l="1"/>
  <c r="Q316"/>
  <c r="R316" s="1"/>
  <c r="Q1012"/>
  <c r="R1012" s="1"/>
  <c r="Q1104"/>
  <c r="P1160"/>
  <c r="S1245"/>
  <c r="L1159"/>
  <c r="L1161" s="1"/>
  <c r="L1105"/>
  <c r="R1173"/>
  <c r="Q1032"/>
  <c r="R1032" s="1"/>
  <c r="Q299"/>
  <c r="R299" s="1"/>
  <c r="L1098"/>
  <c r="Q555"/>
  <c r="P1063"/>
  <c r="R511"/>
  <c r="P511"/>
  <c r="S1098"/>
  <c r="C1085" i="39"/>
  <c r="Q1102" i="36"/>
  <c r="P746"/>
  <c r="Q746" s="1"/>
  <c r="S589"/>
  <c r="S1105"/>
  <c r="S1104"/>
  <c r="P987"/>
  <c r="S716"/>
  <c r="P440"/>
  <c r="I162" i="39"/>
  <c r="S442" i="36"/>
  <c r="P1088"/>
  <c r="R1097"/>
  <c r="L1104"/>
  <c r="R1104"/>
  <c r="S511"/>
  <c r="Q511"/>
  <c r="Q985"/>
  <c r="Q1160" s="1"/>
  <c r="R232"/>
  <c r="R234" s="1"/>
  <c r="Q515"/>
  <c r="L1101"/>
  <c r="Q513"/>
  <c r="Q517"/>
  <c r="S964"/>
  <c r="Q1097"/>
  <c r="S1097"/>
  <c r="P1097"/>
  <c r="S622"/>
  <c r="P355"/>
  <c r="P1104"/>
  <c r="R655"/>
  <c r="P1211"/>
  <c r="Q1210"/>
  <c r="Q1211" s="1"/>
  <c r="Q1204"/>
  <c r="Q1199"/>
  <c r="P659"/>
  <c r="Q1238"/>
  <c r="Q1240" s="1"/>
  <c r="S1177"/>
  <c r="S1180" s="1"/>
  <c r="P1102"/>
  <c r="R744"/>
  <c r="Q657"/>
  <c r="P1249"/>
  <c r="P1251" s="1"/>
  <c r="P1240"/>
  <c r="S241"/>
  <c r="C966" i="39"/>
  <c r="G952"/>
  <c r="Q785" i="36"/>
  <c r="P519"/>
  <c r="L1135"/>
  <c r="L1138" s="1"/>
  <c r="L1139"/>
  <c r="Q273"/>
  <c r="H952" i="39"/>
  <c r="P1159" i="36"/>
  <c r="P1101"/>
  <c r="Q353"/>
  <c r="Q444"/>
  <c r="P446"/>
  <c r="L281"/>
  <c r="R1219"/>
  <c r="P276"/>
  <c r="R1177"/>
  <c r="R1180" s="1"/>
  <c r="Q440"/>
  <c r="L278"/>
  <c r="R440"/>
  <c r="R1196"/>
  <c r="R1190"/>
  <c r="S1190"/>
  <c r="R983"/>
  <c r="Q166"/>
  <c r="Q195" s="1"/>
  <c r="Q228" s="1"/>
  <c r="Q236" s="1"/>
  <c r="R122"/>
  <c r="R351"/>
  <c r="S336"/>
  <c r="R868"/>
  <c r="S868"/>
  <c r="S1186"/>
  <c r="S1188" s="1"/>
  <c r="R576"/>
  <c r="S571"/>
  <c r="S42"/>
  <c r="Q1222"/>
  <c r="Q870"/>
  <c r="R62"/>
  <c r="R1195"/>
  <c r="S1184"/>
  <c r="R830"/>
  <c r="P872"/>
  <c r="T396"/>
  <c r="P1161" l="1"/>
  <c r="S1173"/>
  <c r="Q987"/>
  <c r="R555"/>
  <c r="R513"/>
  <c r="S232"/>
  <c r="S234" s="1"/>
  <c r="R657"/>
  <c r="R1098"/>
  <c r="C970" i="39"/>
  <c r="Q1155" i="36"/>
  <c r="Q1159" s="1"/>
  <c r="Q1161" s="1"/>
  <c r="S316"/>
  <c r="P1098"/>
  <c r="S742"/>
  <c r="S299"/>
  <c r="R985"/>
  <c r="R1160" s="1"/>
  <c r="R444"/>
  <c r="T398"/>
  <c r="S576"/>
  <c r="Q1101"/>
  <c r="R1102"/>
  <c r="P660"/>
  <c r="R517"/>
  <c r="R515"/>
  <c r="Q1088"/>
  <c r="S655"/>
  <c r="S1012"/>
  <c r="Q1063"/>
  <c r="S1032"/>
  <c r="S351"/>
  <c r="J162" i="39"/>
  <c r="Q1098" i="36"/>
  <c r="Q1249"/>
  <c r="Q1251" s="1"/>
  <c r="R746"/>
  <c r="Q659"/>
  <c r="R166"/>
  <c r="R195" s="1"/>
  <c r="R1238"/>
  <c r="R1249" s="1"/>
  <c r="G966" i="39"/>
  <c r="S1182" i="36"/>
  <c r="P874"/>
  <c r="G1085" i="39"/>
  <c r="I952"/>
  <c r="Q1096" i="36"/>
  <c r="Q355"/>
  <c r="R785"/>
  <c r="L1140"/>
  <c r="P1139"/>
  <c r="R273"/>
  <c r="S273"/>
  <c r="P278"/>
  <c r="S1219"/>
  <c r="L1093"/>
  <c r="L1107" s="1"/>
  <c r="L1108"/>
  <c r="Q276"/>
  <c r="R1198"/>
  <c r="R870"/>
  <c r="S983"/>
  <c r="Q872"/>
  <c r="R353"/>
  <c r="R1230"/>
  <c r="R1233" s="1"/>
  <c r="R1222"/>
  <c r="S830"/>
  <c r="S62"/>
  <c r="S1195"/>
  <c r="S122"/>
  <c r="S1196"/>
  <c r="P1135"/>
  <c r="P1138" s="1"/>
  <c r="R1155" l="1"/>
  <c r="R1159" s="1"/>
  <c r="R1161" s="1"/>
  <c r="L1109"/>
  <c r="R987"/>
  <c r="S555"/>
  <c r="R1096"/>
  <c r="S513"/>
  <c r="S744"/>
  <c r="S746" s="1"/>
  <c r="R1063"/>
  <c r="S515"/>
  <c r="S657"/>
  <c r="S985"/>
  <c r="S1160" s="1"/>
  <c r="R1088"/>
  <c r="H1085" i="39"/>
  <c r="R872" i="36"/>
  <c r="R1139" s="1"/>
  <c r="S353"/>
  <c r="S517"/>
  <c r="S444"/>
  <c r="R1101"/>
  <c r="R1204"/>
  <c r="R1210"/>
  <c r="R1199"/>
  <c r="R1237"/>
  <c r="R1240" s="1"/>
  <c r="R659"/>
  <c r="R228"/>
  <c r="R236" s="1"/>
  <c r="R276" s="1"/>
  <c r="S166"/>
  <c r="S195" s="1"/>
  <c r="S1238"/>
  <c r="S1249" s="1"/>
  <c r="R355"/>
  <c r="Q874"/>
  <c r="P280"/>
  <c r="G970" i="39"/>
  <c r="H966"/>
  <c r="J952"/>
  <c r="S785" i="36"/>
  <c r="Q1139"/>
  <c r="P1093"/>
  <c r="P1107" s="1"/>
  <c r="P1108"/>
  <c r="Q278"/>
  <c r="P1140"/>
  <c r="S870"/>
  <c r="Q1135"/>
  <c r="Q1138" s="1"/>
  <c r="S1198"/>
  <c r="S1230"/>
  <c r="S1233" s="1"/>
  <c r="S1222"/>
  <c r="R1135" l="1"/>
  <c r="R1138" s="1"/>
  <c r="R1140" s="1"/>
  <c r="I1085" i="39"/>
  <c r="S987" i="36"/>
  <c r="S355"/>
  <c r="S1088"/>
  <c r="S1063"/>
  <c r="S1155"/>
  <c r="S1159" s="1"/>
  <c r="S1161" s="1"/>
  <c r="S1102"/>
  <c r="S1096"/>
  <c r="R874"/>
  <c r="S1101"/>
  <c r="R1211"/>
  <c r="S1204"/>
  <c r="S1210"/>
  <c r="S1199"/>
  <c r="R1248"/>
  <c r="R1251" s="1"/>
  <c r="S1237"/>
  <c r="S1248" s="1"/>
  <c r="S1251" s="1"/>
  <c r="G974" i="39"/>
  <c r="S659" i="36"/>
  <c r="S228"/>
  <c r="S236" s="1"/>
  <c r="S276" s="1"/>
  <c r="I966" i="39"/>
  <c r="Q1093" i="36"/>
  <c r="Q1107" s="1"/>
  <c r="H970" i="39"/>
  <c r="Q280" i="36"/>
  <c r="R278"/>
  <c r="Q1108"/>
  <c r="P1109"/>
  <c r="Q1140"/>
  <c r="S872"/>
  <c r="S1211" l="1"/>
  <c r="S1240"/>
  <c r="J966" i="39"/>
  <c r="S278" i="36"/>
  <c r="R1108"/>
  <c r="I970" i="39"/>
  <c r="J1085"/>
  <c r="S874" i="36"/>
  <c r="Q1109"/>
  <c r="R280"/>
  <c r="S1139"/>
  <c r="R1093"/>
  <c r="R1107" s="1"/>
  <c r="S1135"/>
  <c r="S1138" s="1"/>
  <c r="D846" i="39"/>
  <c r="E846"/>
  <c r="F846"/>
  <c r="G846"/>
  <c r="H846"/>
  <c r="I846"/>
  <c r="J846"/>
  <c r="K846"/>
  <c r="C846"/>
  <c r="T1046" i="36"/>
  <c r="J970" i="39" l="1"/>
  <c r="S1093" i="36"/>
  <c r="S1107" s="1"/>
  <c r="S1108"/>
  <c r="R1109"/>
  <c r="S280"/>
  <c r="T1059"/>
  <c r="K854" i="39"/>
  <c r="S1140" i="36"/>
  <c r="M1276"/>
  <c r="T1276"/>
  <c r="M1179"/>
  <c r="T1179"/>
  <c r="M1178"/>
  <c r="T1178"/>
  <c r="S1109" l="1"/>
  <c r="M1275"/>
  <c r="T1275"/>
  <c r="E70" i="51"/>
  <c r="E71" s="1"/>
  <c r="D70"/>
  <c r="D71" s="1"/>
  <c r="E66"/>
  <c r="D66"/>
  <c r="D67" s="1"/>
  <c r="C66"/>
  <c r="E65"/>
  <c r="E62"/>
  <c r="D62"/>
  <c r="D63" s="1"/>
  <c r="C62"/>
  <c r="E61"/>
  <c r="C61"/>
  <c r="E58"/>
  <c r="D58"/>
  <c r="D59" s="1"/>
  <c r="C58"/>
  <c r="E57"/>
  <c r="E44"/>
  <c r="D44"/>
  <c r="C44"/>
  <c r="E43"/>
  <c r="D43"/>
  <c r="C43"/>
  <c r="K42"/>
  <c r="J42"/>
  <c r="I42"/>
  <c r="F42"/>
  <c r="E42"/>
  <c r="D42"/>
  <c r="C42"/>
  <c r="E35"/>
  <c r="D35"/>
  <c r="C35"/>
  <c r="K34"/>
  <c r="J34"/>
  <c r="G34"/>
  <c r="F34"/>
  <c r="E34"/>
  <c r="D34"/>
  <c r="C34"/>
  <c r="K33"/>
  <c r="J33"/>
  <c r="I33"/>
  <c r="H33"/>
  <c r="G33"/>
  <c r="F33"/>
  <c r="E33"/>
  <c r="D33"/>
  <c r="C33"/>
  <c r="K32"/>
  <c r="J32"/>
  <c r="I32"/>
  <c r="H32"/>
  <c r="G32"/>
  <c r="F32"/>
  <c r="E32"/>
  <c r="D32"/>
  <c r="C32"/>
  <c r="F26"/>
  <c r="E26"/>
  <c r="D26"/>
  <c r="C26"/>
  <c r="E25"/>
  <c r="D25"/>
  <c r="C25"/>
  <c r="K19"/>
  <c r="J19"/>
  <c r="F19"/>
  <c r="E19"/>
  <c r="D19"/>
  <c r="C19"/>
  <c r="K18"/>
  <c r="J18"/>
  <c r="I18"/>
  <c r="H18"/>
  <c r="G18"/>
  <c r="F18"/>
  <c r="E18"/>
  <c r="D18"/>
  <c r="C18"/>
  <c r="K17"/>
  <c r="J17"/>
  <c r="I17"/>
  <c r="H17"/>
  <c r="G17"/>
  <c r="F17"/>
  <c r="E17"/>
  <c r="D17"/>
  <c r="C17"/>
  <c r="K16"/>
  <c r="J16"/>
  <c r="I16"/>
  <c r="H16"/>
  <c r="G16"/>
  <c r="F16"/>
  <c r="E16"/>
  <c r="D16"/>
  <c r="C16"/>
  <c r="F15"/>
  <c r="E15"/>
  <c r="D15"/>
  <c r="C15"/>
  <c r="K14"/>
  <c r="J14"/>
  <c r="I14"/>
  <c r="H14"/>
  <c r="G14"/>
  <c r="F14"/>
  <c r="E14"/>
  <c r="D14"/>
  <c r="C14"/>
  <c r="K13"/>
  <c r="J13"/>
  <c r="I13"/>
  <c r="H13"/>
  <c r="G13"/>
  <c r="F13"/>
  <c r="E13"/>
  <c r="D13"/>
  <c r="C13"/>
  <c r="M1273" i="36"/>
  <c r="T1273"/>
  <c r="M1272"/>
  <c r="T1272"/>
  <c r="M1269"/>
  <c r="T1269"/>
  <c r="M1268"/>
  <c r="T1268"/>
  <c r="M1267"/>
  <c r="T1267"/>
  <c r="M1266" l="1"/>
  <c r="M1271"/>
  <c r="E63" i="51"/>
  <c r="C67"/>
  <c r="C63"/>
  <c r="D20"/>
  <c r="C27"/>
  <c r="C59"/>
  <c r="E27"/>
  <c r="D45"/>
  <c r="E59"/>
  <c r="E67"/>
  <c r="D36"/>
  <c r="F20"/>
  <c r="C20"/>
  <c r="E45"/>
  <c r="C45"/>
  <c r="C36"/>
  <c r="E20"/>
  <c r="E36"/>
  <c r="D27"/>
  <c r="T1271" i="36"/>
  <c r="T1266"/>
  <c r="C49" i="51" l="1"/>
  <c r="C53" s="1"/>
  <c r="D49"/>
  <c r="E49"/>
  <c r="D53" l="1"/>
  <c r="E53"/>
  <c r="M1264" i="36" l="1"/>
  <c r="T1264"/>
  <c r="M1263"/>
  <c r="T1263"/>
  <c r="M1262"/>
  <c r="T1262"/>
  <c r="M1261"/>
  <c r="T1261"/>
  <c r="T1260" l="1"/>
  <c r="M1260"/>
  <c r="T336" l="1"/>
  <c r="T981"/>
  <c r="K162" i="39" l="1"/>
  <c r="G15" i="51"/>
  <c r="M295" i="36" l="1"/>
  <c r="T164"/>
  <c r="C28" i="51" l="1"/>
  <c r="C29" s="1"/>
  <c r="T589" i="36" l="1"/>
  <c r="T693" l="1"/>
  <c r="D547" i="39"/>
  <c r="E547"/>
  <c r="F547"/>
  <c r="G547"/>
  <c r="H547"/>
  <c r="I547"/>
  <c r="J547"/>
  <c r="K547"/>
  <c r="C547"/>
  <c r="T461" i="36"/>
  <c r="T209"/>
  <c r="J15" i="51" l="1"/>
  <c r="J20" s="1"/>
  <c r="D902" i="39"/>
  <c r="E902"/>
  <c r="F902"/>
  <c r="G902"/>
  <c r="H902"/>
  <c r="I902"/>
  <c r="J902"/>
  <c r="T1078" i="36"/>
  <c r="C902" i="39"/>
  <c r="K902" l="1"/>
  <c r="F256"/>
  <c r="T95" i="36"/>
  <c r="T964"/>
  <c r="T866"/>
  <c r="T829"/>
  <c r="T250"/>
  <c r="D256" i="39"/>
  <c r="E256"/>
  <c r="H256"/>
  <c r="K256"/>
  <c r="C256"/>
  <c r="H15" i="51" l="1"/>
  <c r="T853" i="36"/>
  <c r="T701"/>
  <c r="T605"/>
  <c r="D388" i="39" l="1"/>
  <c r="E388"/>
  <c r="F388"/>
  <c r="G388"/>
  <c r="H388"/>
  <c r="I388"/>
  <c r="J388"/>
  <c r="K388"/>
  <c r="C388"/>
  <c r="G35" i="51" l="1"/>
  <c r="G36" s="1"/>
  <c r="F43"/>
  <c r="H35"/>
  <c r="I35"/>
  <c r="J35"/>
  <c r="J36" s="1"/>
  <c r="K35"/>
  <c r="K36" s="1"/>
  <c r="F35"/>
  <c r="F36" s="1"/>
  <c r="G43"/>
  <c r="H43"/>
  <c r="I43"/>
  <c r="J43"/>
  <c r="K43"/>
  <c r="D546" i="39"/>
  <c r="E546"/>
  <c r="F546"/>
  <c r="G546"/>
  <c r="H546"/>
  <c r="I546"/>
  <c r="J546"/>
  <c r="K546"/>
  <c r="C546"/>
  <c r="D317"/>
  <c r="E317"/>
  <c r="C317"/>
  <c r="M507" i="36"/>
  <c r="M481"/>
  <c r="M405"/>
  <c r="M1134" l="1"/>
  <c r="E46" i="51"/>
  <c r="E47" s="1"/>
  <c r="C46"/>
  <c r="C47" s="1"/>
  <c r="E28"/>
  <c r="E29" s="1"/>
  <c r="D46"/>
  <c r="D47" s="1"/>
  <c r="D28"/>
  <c r="D29" s="1"/>
  <c r="D893" i="39" l="1"/>
  <c r="E893"/>
  <c r="F893"/>
  <c r="G893"/>
  <c r="H893"/>
  <c r="I893"/>
  <c r="J893"/>
  <c r="K893"/>
  <c r="C893"/>
  <c r="J256" l="1"/>
  <c r="I256"/>
  <c r="T625" i="36"/>
  <c r="T462"/>
  <c r="H42" i="51"/>
  <c r="G42"/>
  <c r="I34"/>
  <c r="I36" s="1"/>
  <c r="H34"/>
  <c r="H36" s="1"/>
  <c r="J26"/>
  <c r="I26"/>
  <c r="K449" i="39" l="1"/>
  <c r="K26" i="51"/>
  <c r="K15"/>
  <c r="K20" s="1"/>
  <c r="I19"/>
  <c r="I15"/>
  <c r="H19"/>
  <c r="H20" s="1"/>
  <c r="H26"/>
  <c r="G26"/>
  <c r="T1243" i="36" l="1"/>
  <c r="I20" i="51"/>
  <c r="T1239" i="36" l="1"/>
  <c r="T1219" l="1"/>
  <c r="D1090" i="39"/>
  <c r="E1090"/>
  <c r="C1090"/>
  <c r="D1034"/>
  <c r="D705"/>
  <c r="C705"/>
  <c r="D557"/>
  <c r="E557"/>
  <c r="F557"/>
  <c r="G557"/>
  <c r="H557"/>
  <c r="I557"/>
  <c r="J557"/>
  <c r="K557"/>
  <c r="C557"/>
  <c r="G705" l="1"/>
  <c r="F705" l="1"/>
  <c r="E705"/>
  <c r="T1177" i="36" l="1"/>
  <c r="D657" i="39"/>
  <c r="E657"/>
  <c r="F657"/>
  <c r="G657"/>
  <c r="H657"/>
  <c r="I657"/>
  <c r="J657"/>
  <c r="K657"/>
  <c r="C657"/>
  <c r="D307"/>
  <c r="E307"/>
  <c r="F307"/>
  <c r="C307"/>
  <c r="T817" i="36" l="1"/>
  <c r="D493" i="39" l="1"/>
  <c r="E493"/>
  <c r="C493"/>
  <c r="D334"/>
  <c r="E334"/>
  <c r="F334"/>
  <c r="G334"/>
  <c r="H334"/>
  <c r="I334"/>
  <c r="J334"/>
  <c r="K334"/>
  <c r="C334"/>
  <c r="D310"/>
  <c r="E310"/>
  <c r="F310"/>
  <c r="G310"/>
  <c r="H310"/>
  <c r="I310"/>
  <c r="J310"/>
  <c r="K310"/>
  <c r="C310"/>
  <c r="D311"/>
  <c r="E311"/>
  <c r="F311"/>
  <c r="J311"/>
  <c r="K311"/>
  <c r="C311"/>
  <c r="M681" i="36"/>
  <c r="H44" i="51" l="1"/>
  <c r="H45" s="1"/>
  <c r="G44"/>
  <c r="G45" s="1"/>
  <c r="C50"/>
  <c r="C51" s="1"/>
  <c r="C37"/>
  <c r="C38" s="1"/>
  <c r="T506" i="36"/>
  <c r="I311" i="39"/>
  <c r="H311"/>
  <c r="T699" i="36"/>
  <c r="H46" i="51" l="1"/>
  <c r="H47" s="1"/>
  <c r="G46"/>
  <c r="G47" s="1"/>
  <c r="I44"/>
  <c r="I45" s="1"/>
  <c r="G311" i="39"/>
  <c r="G19" i="51"/>
  <c r="G20" s="1"/>
  <c r="J44"/>
  <c r="J45" s="1"/>
  <c r="T507" i="36"/>
  <c r="K44" i="51"/>
  <c r="K45" s="1"/>
  <c r="G307" i="39"/>
  <c r="T84" i="36"/>
  <c r="T83"/>
  <c r="T1134" l="1"/>
  <c r="K46" i="51"/>
  <c r="K47" s="1"/>
  <c r="J46"/>
  <c r="J47" s="1"/>
  <c r="I46"/>
  <c r="I47" s="1"/>
  <c r="T213" i="36"/>
  <c r="T221"/>
  <c r="T622"/>
  <c r="H307" i="39" l="1"/>
  <c r="T143" i="36"/>
  <c r="K307" i="39"/>
  <c r="J307"/>
  <c r="I307"/>
  <c r="F37" i="51"/>
  <c r="F38" s="1"/>
  <c r="D255" i="39" l="1"/>
  <c r="E255"/>
  <c r="F255"/>
  <c r="G255"/>
  <c r="F63" i="43" s="1"/>
  <c r="H255" i="39"/>
  <c r="I255"/>
  <c r="J255"/>
  <c r="K255"/>
  <c r="C255"/>
  <c r="T716" i="36"/>
  <c r="T227"/>
  <c r="G25" i="51" l="1"/>
  <c r="G27" s="1"/>
  <c r="H25"/>
  <c r="H27" s="1"/>
  <c r="I25"/>
  <c r="I27" s="1"/>
  <c r="J25"/>
  <c r="J27" s="1"/>
  <c r="T477" i="36"/>
  <c r="F25" i="51"/>
  <c r="F27" s="1"/>
  <c r="K25" l="1"/>
  <c r="K27" s="1"/>
  <c r="K49" s="1"/>
  <c r="G49"/>
  <c r="G53" s="1"/>
  <c r="I49"/>
  <c r="J49"/>
  <c r="H49"/>
  <c r="I317" i="39"/>
  <c r="J317"/>
  <c r="K317"/>
  <c r="T481" i="36"/>
  <c r="G317" i="39"/>
  <c r="F317"/>
  <c r="H317"/>
  <c r="D146" i="40"/>
  <c r="E146"/>
  <c r="C146"/>
  <c r="T256" i="36"/>
  <c r="T241"/>
  <c r="T1173" s="1"/>
  <c r="T194"/>
  <c r="H28" i="51" l="1"/>
  <c r="H29" s="1"/>
  <c r="F28"/>
  <c r="F29" s="1"/>
  <c r="K28"/>
  <c r="K29" s="1"/>
  <c r="I28"/>
  <c r="I29" s="1"/>
  <c r="G28"/>
  <c r="G29" s="1"/>
  <c r="J28"/>
  <c r="J29" s="1"/>
  <c r="K53"/>
  <c r="H53"/>
  <c r="I53"/>
  <c r="J53"/>
  <c r="T42" i="36"/>
  <c r="T571"/>
  <c r="F146" i="40"/>
  <c r="T1184" i="36" l="1"/>
  <c r="T1182"/>
  <c r="T1244" l="1"/>
  <c r="T1245" s="1"/>
  <c r="T867"/>
  <c r="T1250" l="1"/>
  <c r="F44" i="51"/>
  <c r="F45" s="1"/>
  <c r="T574" i="36"/>
  <c r="F493" i="39"/>
  <c r="T361" i="36"/>
  <c r="T261"/>
  <c r="K180" i="40" s="1"/>
  <c r="K439" i="39" l="1"/>
  <c r="F46" i="51"/>
  <c r="F47" s="1"/>
  <c r="F49"/>
  <c r="T239" i="36"/>
  <c r="F53" i="51" l="1"/>
  <c r="M1220" i="36"/>
  <c r="F69" i="51" l="1"/>
  <c r="M1192" i="36"/>
  <c r="T1192"/>
  <c r="M1190"/>
  <c r="T1190"/>
  <c r="D894" i="39"/>
  <c r="E894"/>
  <c r="F894"/>
  <c r="G894"/>
  <c r="H894"/>
  <c r="I894"/>
  <c r="J894"/>
  <c r="K894"/>
  <c r="C894"/>
  <c r="D896"/>
  <c r="E896"/>
  <c r="F896"/>
  <c r="G896"/>
  <c r="H896"/>
  <c r="I896"/>
  <c r="J896"/>
  <c r="K896"/>
  <c r="C896"/>
  <c r="C516"/>
  <c r="G69" i="51" l="1"/>
  <c r="H69" s="1"/>
  <c r="I69" s="1"/>
  <c r="J69" s="1"/>
  <c r="K69" s="1"/>
  <c r="D248" i="39" l="1"/>
  <c r="E248"/>
  <c r="F248"/>
  <c r="D246"/>
  <c r="E246"/>
  <c r="F246"/>
  <c r="G246"/>
  <c r="H25" i="43" s="1"/>
  <c r="H246" i="39"/>
  <c r="I246"/>
  <c r="J246"/>
  <c r="K246"/>
  <c r="D245"/>
  <c r="E245"/>
  <c r="F245"/>
  <c r="G245"/>
  <c r="H245"/>
  <c r="I245"/>
  <c r="J245"/>
  <c r="K245"/>
  <c r="D244"/>
  <c r="E244"/>
  <c r="F244"/>
  <c r="G244"/>
  <c r="H244"/>
  <c r="I244"/>
  <c r="J244"/>
  <c r="K244"/>
  <c r="M1180" i="36" l="1"/>
  <c r="T1180"/>
  <c r="C70" i="51"/>
  <c r="C71" s="1"/>
  <c r="C21"/>
  <c r="C22" s="1"/>
  <c r="J705" i="39" l="1"/>
  <c r="I705"/>
  <c r="H705"/>
  <c r="E37" i="51"/>
  <c r="E38" s="1"/>
  <c r="G21"/>
  <c r="G22" s="1"/>
  <c r="H37"/>
  <c r="H38" s="1"/>
  <c r="G37"/>
  <c r="G38" s="1"/>
  <c r="J37"/>
  <c r="J38" s="1"/>
  <c r="I37"/>
  <c r="I38" s="1"/>
  <c r="G256" i="39"/>
  <c r="J248"/>
  <c r="I248"/>
  <c r="H493"/>
  <c r="G493"/>
  <c r="J493"/>
  <c r="I493"/>
  <c r="J21" i="51"/>
  <c r="J22" s="1"/>
  <c r="G146" i="40"/>
  <c r="J146"/>
  <c r="I146"/>
  <c r="H146"/>
  <c r="H248" i="39"/>
  <c r="G248"/>
  <c r="H50" i="51"/>
  <c r="H51" s="1"/>
  <c r="E50"/>
  <c r="E51" s="1"/>
  <c r="J50"/>
  <c r="J51" s="1"/>
  <c r="I50"/>
  <c r="I51" s="1"/>
  <c r="H21"/>
  <c r="H22" s="1"/>
  <c r="I21"/>
  <c r="I22" s="1"/>
  <c r="E21"/>
  <c r="E22" s="1"/>
  <c r="D808" i="39"/>
  <c r="E808"/>
  <c r="F808"/>
  <c r="G808"/>
  <c r="H808"/>
  <c r="I808"/>
  <c r="J808"/>
  <c r="K808"/>
  <c r="C808"/>
  <c r="C54" i="51" l="1"/>
  <c r="C55" s="1"/>
  <c r="G50"/>
  <c r="G51" s="1"/>
  <c r="J54" l="1"/>
  <c r="J55" s="1"/>
  <c r="E54"/>
  <c r="E55" s="1"/>
  <c r="I54"/>
  <c r="I55" s="1"/>
  <c r="H54"/>
  <c r="H55" s="1"/>
  <c r="G54"/>
  <c r="G55" s="1"/>
  <c r="D503" i="39" l="1"/>
  <c r="E503"/>
  <c r="F503"/>
  <c r="G503"/>
  <c r="H503"/>
  <c r="I503"/>
  <c r="J503"/>
  <c r="K503"/>
  <c r="C503"/>
  <c r="E976" l="1"/>
  <c r="E867"/>
  <c r="E868" s="1"/>
  <c r="C867"/>
  <c r="C868" s="1"/>
  <c r="E914"/>
  <c r="E915" s="1"/>
  <c r="C914"/>
  <c r="C915" s="1"/>
  <c r="E818" l="1"/>
  <c r="E819" s="1"/>
  <c r="C818"/>
  <c r="C819" s="1"/>
  <c r="E772"/>
  <c r="E773" s="1"/>
  <c r="C772"/>
  <c r="C773" s="1"/>
  <c r="E725"/>
  <c r="E726" s="1"/>
  <c r="C725"/>
  <c r="C726" s="1"/>
  <c r="M1196" i="36"/>
  <c r="M1195"/>
  <c r="E669" i="39"/>
  <c r="E670" s="1"/>
  <c r="C669"/>
  <c r="C670" s="1"/>
  <c r="E619"/>
  <c r="E620" s="1"/>
  <c r="C619"/>
  <c r="C620" s="1"/>
  <c r="M1198" i="36" l="1"/>
  <c r="E567" i="39"/>
  <c r="E568" s="1"/>
  <c r="C567"/>
  <c r="C568" s="1"/>
  <c r="E516"/>
  <c r="E517" s="1"/>
  <c r="C517"/>
  <c r="E461"/>
  <c r="E462" s="1"/>
  <c r="E408"/>
  <c r="E409" s="1"/>
  <c r="C408"/>
  <c r="C409" s="1"/>
  <c r="H764"/>
  <c r="M1008" i="36"/>
  <c r="E764" i="39"/>
  <c r="F764"/>
  <c r="I764"/>
  <c r="J764"/>
  <c r="T1008" i="36"/>
  <c r="C764" i="39"/>
  <c r="D764" l="1"/>
  <c r="K764"/>
  <c r="M1204" i="36"/>
  <c r="M1210"/>
  <c r="O1199"/>
  <c r="N1199"/>
  <c r="M1199"/>
  <c r="E358" i="39"/>
  <c r="C358"/>
  <c r="E354"/>
  <c r="C354"/>
  <c r="E350"/>
  <c r="C350"/>
  <c r="E276"/>
  <c r="E277" s="1"/>
  <c r="C276"/>
  <c r="C277" s="1"/>
  <c r="E272"/>
  <c r="C272"/>
  <c r="D268"/>
  <c r="E268"/>
  <c r="F268"/>
  <c r="C268"/>
  <c r="E217"/>
  <c r="E218" s="1"/>
  <c r="C217"/>
  <c r="C218" s="1"/>
  <c r="E174"/>
  <c r="E175" s="1"/>
  <c r="C174"/>
  <c r="C175" s="1"/>
  <c r="E127"/>
  <c r="E128" s="1"/>
  <c r="C127"/>
  <c r="C128" s="1"/>
  <c r="E83"/>
  <c r="E84" s="1"/>
  <c r="C83"/>
  <c r="C84" s="1"/>
  <c r="G764"/>
  <c r="D762"/>
  <c r="D1022" s="1"/>
  <c r="E762"/>
  <c r="E1022" s="1"/>
  <c r="F762"/>
  <c r="F1022" s="1"/>
  <c r="H762"/>
  <c r="H1022" s="1"/>
  <c r="I762"/>
  <c r="I1022" s="1"/>
  <c r="J762"/>
  <c r="J1022" s="1"/>
  <c r="K762"/>
  <c r="K1022" s="1"/>
  <c r="C762"/>
  <c r="C1022" s="1"/>
  <c r="E41"/>
  <c r="C40"/>
  <c r="C41" s="1"/>
  <c r="O1211" i="36" l="1"/>
  <c r="N1211"/>
  <c r="G762" i="39"/>
  <c r="G1022" s="1"/>
  <c r="G707" l="1"/>
  <c r="T694" i="36" l="1"/>
  <c r="T591"/>
  <c r="T409"/>
  <c r="T365"/>
  <c r="T436" l="1"/>
  <c r="K254" i="39"/>
  <c r="T972" i="36"/>
  <c r="D855" i="39" l="1"/>
  <c r="D858" s="1"/>
  <c r="E855"/>
  <c r="E858" s="1"/>
  <c r="F855"/>
  <c r="F858" s="1"/>
  <c r="G855"/>
  <c r="G858" s="1"/>
  <c r="H855"/>
  <c r="H858" s="1"/>
  <c r="I855"/>
  <c r="I858" s="1"/>
  <c r="J855"/>
  <c r="J858" s="1"/>
  <c r="K855"/>
  <c r="K858" s="1"/>
  <c r="C855"/>
  <c r="C858" s="1"/>
  <c r="C245"/>
  <c r="T232" i="36" l="1"/>
  <c r="G25" i="43" l="1"/>
  <c r="J859" i="39"/>
  <c r="C859"/>
  <c r="G859"/>
  <c r="T405" i="36" l="1"/>
  <c r="T442" s="1"/>
  <c r="G268" i="39"/>
  <c r="J63" i="43"/>
  <c r="D144" i="40"/>
  <c r="E144"/>
  <c r="F144"/>
  <c r="G144"/>
  <c r="H144"/>
  <c r="I144"/>
  <c r="J144"/>
  <c r="K144"/>
  <c r="C144"/>
  <c r="D113"/>
  <c r="E113"/>
  <c r="F113"/>
  <c r="G113"/>
  <c r="H113"/>
  <c r="I113"/>
  <c r="J113"/>
  <c r="K113"/>
  <c r="C113"/>
  <c r="E903" i="39"/>
  <c r="E905" s="1"/>
  <c r="D903"/>
  <c r="D905" s="1"/>
  <c r="C903"/>
  <c r="C905" s="1"/>
  <c r="D807"/>
  <c r="E807"/>
  <c r="F807"/>
  <c r="G807"/>
  <c r="E72" i="43" s="1"/>
  <c r="H807" i="39"/>
  <c r="I807"/>
  <c r="J807"/>
  <c r="K807"/>
  <c r="C807"/>
  <c r="D715"/>
  <c r="D1023" s="1"/>
  <c r="E715"/>
  <c r="E1023" s="1"/>
  <c r="C715"/>
  <c r="C1023" s="1"/>
  <c r="D711"/>
  <c r="D1018" s="1"/>
  <c r="E711"/>
  <c r="E1018" s="1"/>
  <c r="F711"/>
  <c r="F1018" s="1"/>
  <c r="G711"/>
  <c r="G1018" s="1"/>
  <c r="H711"/>
  <c r="H1018" s="1"/>
  <c r="I711"/>
  <c r="I1018" s="1"/>
  <c r="J711"/>
  <c r="J1018" s="1"/>
  <c r="K711"/>
  <c r="K1018" s="1"/>
  <c r="C711"/>
  <c r="C1018" s="1"/>
  <c r="D701"/>
  <c r="D1008" s="1"/>
  <c r="E701"/>
  <c r="E1008" s="1"/>
  <c r="F701"/>
  <c r="F1008" s="1"/>
  <c r="G701"/>
  <c r="G1008" s="1"/>
  <c r="H701"/>
  <c r="H1008" s="1"/>
  <c r="I701"/>
  <c r="I1008" s="1"/>
  <c r="J701"/>
  <c r="J1008" s="1"/>
  <c r="K701"/>
  <c r="K1008" s="1"/>
  <c r="C701"/>
  <c r="C1008" s="1"/>
  <c r="D699"/>
  <c r="D1005" s="1"/>
  <c r="E699"/>
  <c r="E1005" s="1"/>
  <c r="G699"/>
  <c r="G1005" s="1"/>
  <c r="H699"/>
  <c r="H1005" s="1"/>
  <c r="I699"/>
  <c r="I1005" s="1"/>
  <c r="J699"/>
  <c r="J1005" s="1"/>
  <c r="K699"/>
  <c r="K1005" s="1"/>
  <c r="C699"/>
  <c r="C1005" s="1"/>
  <c r="D698"/>
  <c r="E698"/>
  <c r="F698"/>
  <c r="G698"/>
  <c r="C698"/>
  <c r="D650"/>
  <c r="E650"/>
  <c r="F650"/>
  <c r="H650"/>
  <c r="I650"/>
  <c r="J650"/>
  <c r="K650"/>
  <c r="C650"/>
  <c r="D609"/>
  <c r="E609"/>
  <c r="F609"/>
  <c r="H609"/>
  <c r="I609"/>
  <c r="J609"/>
  <c r="K609"/>
  <c r="C609"/>
  <c r="D607"/>
  <c r="E607"/>
  <c r="C607"/>
  <c r="D948"/>
  <c r="E948"/>
  <c r="F948"/>
  <c r="G948"/>
  <c r="H948"/>
  <c r="I948"/>
  <c r="J948"/>
  <c r="K948"/>
  <c r="C948"/>
  <c r="D506"/>
  <c r="E506"/>
  <c r="C506"/>
  <c r="D504"/>
  <c r="E504"/>
  <c r="F504"/>
  <c r="G504"/>
  <c r="H67" i="43" s="1"/>
  <c r="H74" s="1"/>
  <c r="H504" i="39"/>
  <c r="I504"/>
  <c r="J504"/>
  <c r="K504"/>
  <c r="C504"/>
  <c r="D499"/>
  <c r="E499"/>
  <c r="F499"/>
  <c r="G499"/>
  <c r="H499"/>
  <c r="I499"/>
  <c r="J499"/>
  <c r="K499"/>
  <c r="C499"/>
  <c r="D488"/>
  <c r="E488"/>
  <c r="F488"/>
  <c r="G488"/>
  <c r="H488"/>
  <c r="I488"/>
  <c r="J488"/>
  <c r="K488"/>
  <c r="C488"/>
  <c r="D336"/>
  <c r="E336"/>
  <c r="F336"/>
  <c r="G336"/>
  <c r="H336"/>
  <c r="I336"/>
  <c r="J336"/>
  <c r="K336"/>
  <c r="C336"/>
  <c r="D335"/>
  <c r="E335"/>
  <c r="F335"/>
  <c r="C335"/>
  <c r="D1077"/>
  <c r="E1077"/>
  <c r="F1077"/>
  <c r="G1077"/>
  <c r="H1077"/>
  <c r="I1077"/>
  <c r="J1077"/>
  <c r="K1077"/>
  <c r="C1077"/>
  <c r="D327"/>
  <c r="E327"/>
  <c r="F327"/>
  <c r="C327"/>
  <c r="D326"/>
  <c r="E326"/>
  <c r="F326"/>
  <c r="G326"/>
  <c r="H326"/>
  <c r="I326"/>
  <c r="J326"/>
  <c r="K326"/>
  <c r="C326"/>
  <c r="D324"/>
  <c r="E324"/>
  <c r="F324"/>
  <c r="G324"/>
  <c r="H324"/>
  <c r="I324"/>
  <c r="J324"/>
  <c r="K324"/>
  <c r="C324"/>
  <c r="D318"/>
  <c r="E318"/>
  <c r="F318"/>
  <c r="C318"/>
  <c r="C248"/>
  <c r="D200"/>
  <c r="E200"/>
  <c r="F200"/>
  <c r="G200"/>
  <c r="H200"/>
  <c r="I200"/>
  <c r="J200"/>
  <c r="K200"/>
  <c r="C200"/>
  <c r="E51" i="43"/>
  <c r="D117" i="39"/>
  <c r="E117"/>
  <c r="F117"/>
  <c r="G117"/>
  <c r="O57" i="43" s="1"/>
  <c r="H117" i="39"/>
  <c r="I117"/>
  <c r="J117"/>
  <c r="K117"/>
  <c r="C117"/>
  <c r="D73"/>
  <c r="E73"/>
  <c r="F73"/>
  <c r="G73"/>
  <c r="O56" i="43" s="1"/>
  <c r="H73" i="39"/>
  <c r="I73"/>
  <c r="J73"/>
  <c r="K73"/>
  <c r="C73"/>
  <c r="D155"/>
  <c r="E155"/>
  <c r="F155"/>
  <c r="G155"/>
  <c r="I13" i="43" s="1"/>
  <c r="H155" i="39"/>
  <c r="I155"/>
  <c r="J155"/>
  <c r="K155"/>
  <c r="C155"/>
  <c r="D308"/>
  <c r="E308"/>
  <c r="F308"/>
  <c r="G308"/>
  <c r="H308"/>
  <c r="I308"/>
  <c r="J308"/>
  <c r="K308"/>
  <c r="C308"/>
  <c r="D306"/>
  <c r="E306"/>
  <c r="F306"/>
  <c r="G306"/>
  <c r="H306"/>
  <c r="I306"/>
  <c r="J306"/>
  <c r="K306"/>
  <c r="C306"/>
  <c r="D305"/>
  <c r="E305"/>
  <c r="C305"/>
  <c r="C163"/>
  <c r="D164"/>
  <c r="E164"/>
  <c r="C164"/>
  <c r="G650"/>
  <c r="H164"/>
  <c r="J164"/>
  <c r="K164"/>
  <c r="G164"/>
  <c r="F164"/>
  <c r="H903"/>
  <c r="H905" s="1"/>
  <c r="I903"/>
  <c r="I905" s="1"/>
  <c r="J903"/>
  <c r="J905" s="1"/>
  <c r="K903"/>
  <c r="K905" s="1"/>
  <c r="G903"/>
  <c r="G905" s="1"/>
  <c r="F903"/>
  <c r="F905" s="1"/>
  <c r="C960" l="1"/>
  <c r="E960"/>
  <c r="F960"/>
  <c r="D960"/>
  <c r="D1078"/>
  <c r="D337"/>
  <c r="C1078"/>
  <c r="C337"/>
  <c r="E1078"/>
  <c r="E337"/>
  <c r="F1078"/>
  <c r="F337"/>
  <c r="F259"/>
  <c r="L10" i="43"/>
  <c r="E259" i="39"/>
  <c r="E21"/>
  <c r="D259"/>
  <c r="D1079"/>
  <c r="I1079"/>
  <c r="C1079"/>
  <c r="H1079"/>
  <c r="F1079"/>
  <c r="K1079"/>
  <c r="E1079"/>
  <c r="J1079"/>
  <c r="C259"/>
  <c r="G715"/>
  <c r="G1023" s="1"/>
  <c r="H715"/>
  <c r="H1023" s="1"/>
  <c r="I715"/>
  <c r="I1023" s="1"/>
  <c r="J715"/>
  <c r="J1023" s="1"/>
  <c r="K715"/>
  <c r="K1023" s="1"/>
  <c r="K248" l="1"/>
  <c r="K259"/>
  <c r="H259"/>
  <c r="I259"/>
  <c r="J259"/>
  <c r="T444" i="36"/>
  <c r="T208"/>
  <c r="K250" i="39" l="1"/>
  <c r="G259"/>
  <c r="F250"/>
  <c r="H318"/>
  <c r="H960" s="1"/>
  <c r="I318"/>
  <c r="J318"/>
  <c r="J960" s="1"/>
  <c r="K318"/>
  <c r="K960" s="1"/>
  <c r="G318"/>
  <c r="G960" s="1"/>
  <c r="O63" i="43" l="1"/>
  <c r="N64" i="42"/>
  <c r="D75" i="39" l="1"/>
  <c r="E75"/>
  <c r="G75"/>
  <c r="H75"/>
  <c r="I75"/>
  <c r="J75"/>
  <c r="T295" i="36"/>
  <c r="C75" i="39"/>
  <c r="M312" i="36"/>
  <c r="E119" i="39"/>
  <c r="F119"/>
  <c r="G119"/>
  <c r="H119"/>
  <c r="I119"/>
  <c r="J119"/>
  <c r="T312" i="36"/>
  <c r="C119" i="39"/>
  <c r="I164"/>
  <c r="I960" s="1"/>
  <c r="K119" l="1"/>
  <c r="D119"/>
  <c r="F75"/>
  <c r="K75"/>
  <c r="G609"/>
  <c r="M868" i="36"/>
  <c r="C652" i="39"/>
  <c r="G1079" l="1"/>
  <c r="J52" i="43"/>
  <c r="F699" i="39"/>
  <c r="F1005" s="1"/>
  <c r="M1028" i="36" l="1"/>
  <c r="D810" i="39" l="1"/>
  <c r="E810"/>
  <c r="G810"/>
  <c r="H810"/>
  <c r="I810"/>
  <c r="J810"/>
  <c r="T1028" i="36"/>
  <c r="C810" i="39"/>
  <c r="M351" i="36"/>
  <c r="E166" i="39"/>
  <c r="C166"/>
  <c r="C209"/>
  <c r="M367" i="36"/>
  <c r="E209" i="39"/>
  <c r="F209"/>
  <c r="G209"/>
  <c r="H209"/>
  <c r="I209"/>
  <c r="J209"/>
  <c r="T367" i="36"/>
  <c r="K209" i="39" l="1"/>
  <c r="D209"/>
  <c r="K810"/>
  <c r="D166"/>
  <c r="D595"/>
  <c r="E595"/>
  <c r="F595"/>
  <c r="G595"/>
  <c r="H595"/>
  <c r="I595"/>
  <c r="J595"/>
  <c r="K595"/>
  <c r="C595"/>
  <c r="D501"/>
  <c r="E501"/>
  <c r="D450"/>
  <c r="D962" s="1"/>
  <c r="E450"/>
  <c r="E962" s="1"/>
  <c r="F450"/>
  <c r="F962" s="1"/>
  <c r="G450"/>
  <c r="G962" s="1"/>
  <c r="H450"/>
  <c r="H962" s="1"/>
  <c r="I450"/>
  <c r="I962" s="1"/>
  <c r="J450"/>
  <c r="J962" s="1"/>
  <c r="K450"/>
  <c r="K962" s="1"/>
  <c r="E448"/>
  <c r="D446"/>
  <c r="E446"/>
  <c r="F446"/>
  <c r="D445"/>
  <c r="E445"/>
  <c r="F445"/>
  <c r="G445"/>
  <c r="H445"/>
  <c r="I445"/>
  <c r="J445"/>
  <c r="K445"/>
  <c r="C448"/>
  <c r="C446"/>
  <c r="C445"/>
  <c r="E273"/>
  <c r="D269"/>
  <c r="E269"/>
  <c r="F267"/>
  <c r="F269" s="1"/>
  <c r="C273"/>
  <c r="C269"/>
  <c r="C244"/>
  <c r="D183" i="40"/>
  <c r="E183"/>
  <c r="C183"/>
  <c r="L24" i="43"/>
  <c r="J24"/>
  <c r="D309" i="39"/>
  <c r="E309"/>
  <c r="F309"/>
  <c r="G309"/>
  <c r="I24" i="43" s="1"/>
  <c r="H309" i="39"/>
  <c r="I309"/>
  <c r="J309"/>
  <c r="K309"/>
  <c r="H24" i="43"/>
  <c r="G24"/>
  <c r="F24"/>
  <c r="C309" i="39"/>
  <c r="E359"/>
  <c r="E355"/>
  <c r="E351"/>
  <c r="C359"/>
  <c r="C355"/>
  <c r="C351"/>
  <c r="M438" i="36"/>
  <c r="J62" i="43"/>
  <c r="D325" i="39"/>
  <c r="E325"/>
  <c r="F325"/>
  <c r="G325"/>
  <c r="F62" i="43" s="1"/>
  <c r="H325" i="39"/>
  <c r="I325"/>
  <c r="J325"/>
  <c r="K325"/>
  <c r="C325"/>
  <c r="D201"/>
  <c r="E201"/>
  <c r="F201"/>
  <c r="G201"/>
  <c r="H201"/>
  <c r="I201"/>
  <c r="J201"/>
  <c r="K201"/>
  <c r="C201"/>
  <c r="C260" l="1"/>
  <c r="C261" s="1"/>
  <c r="D30" i="45"/>
  <c r="E30"/>
  <c r="E62" i="43"/>
  <c r="C30" i="45"/>
  <c r="G62" i="43"/>
  <c r="C319" i="39"/>
  <c r="C328"/>
  <c r="C312"/>
  <c r="F260"/>
  <c r="F261" s="1"/>
  <c r="D260"/>
  <c r="D261" s="1"/>
  <c r="E260"/>
  <c r="E261" s="1"/>
  <c r="K319"/>
  <c r="G319"/>
  <c r="H319"/>
  <c r="D319"/>
  <c r="F328"/>
  <c r="E328"/>
  <c r="J319"/>
  <c r="D328"/>
  <c r="F319"/>
  <c r="E312"/>
  <c r="I319"/>
  <c r="E319"/>
  <c r="D312"/>
  <c r="M493" i="36"/>
  <c r="C329" i="39"/>
  <c r="F329"/>
  <c r="E329"/>
  <c r="K320"/>
  <c r="J320"/>
  <c r="I320"/>
  <c r="H320"/>
  <c r="G320"/>
  <c r="F320"/>
  <c r="E320"/>
  <c r="D320"/>
  <c r="C320"/>
  <c r="C362"/>
  <c r="C363" s="1"/>
  <c r="M473" i="36"/>
  <c r="M1099" l="1"/>
  <c r="D21" i="51"/>
  <c r="D22" s="1"/>
  <c r="D329" i="39"/>
  <c r="D330" s="1"/>
  <c r="D37" i="51"/>
  <c r="D38" s="1"/>
  <c r="F50"/>
  <c r="F51" s="1"/>
  <c r="E362" i="39"/>
  <c r="E363" s="1"/>
  <c r="F338"/>
  <c r="F339" s="1"/>
  <c r="E330"/>
  <c r="H321"/>
  <c r="I321"/>
  <c r="D321"/>
  <c r="E24" i="42"/>
  <c r="E313" i="39"/>
  <c r="E314" s="1"/>
  <c r="E338"/>
  <c r="E339" s="1"/>
  <c r="D24" i="42"/>
  <c r="D313" i="39"/>
  <c r="D314" s="1"/>
  <c r="D338"/>
  <c r="D339" s="1"/>
  <c r="C24" i="42"/>
  <c r="C313" i="39"/>
  <c r="C314" s="1"/>
  <c r="C338"/>
  <c r="C339" s="1"/>
  <c r="J321"/>
  <c r="E321"/>
  <c r="F330"/>
  <c r="K321"/>
  <c r="C321"/>
  <c r="F321"/>
  <c r="G321"/>
  <c r="C330"/>
  <c r="J335"/>
  <c r="J337" s="1"/>
  <c r="H305"/>
  <c r="H312" s="1"/>
  <c r="I335"/>
  <c r="I337" s="1"/>
  <c r="G335"/>
  <c r="K335"/>
  <c r="K337" s="1"/>
  <c r="H335"/>
  <c r="H337" s="1"/>
  <c r="G305"/>
  <c r="E24" i="43" s="1"/>
  <c r="K305" i="39"/>
  <c r="K312" s="1"/>
  <c r="F305"/>
  <c r="F312" s="1"/>
  <c r="I305"/>
  <c r="I312" s="1"/>
  <c r="J305"/>
  <c r="J312" s="1"/>
  <c r="G267"/>
  <c r="G269" s="1"/>
  <c r="E341"/>
  <c r="C341"/>
  <c r="D341"/>
  <c r="F341"/>
  <c r="G313"/>
  <c r="T473" i="36"/>
  <c r="H327" i="39"/>
  <c r="G327"/>
  <c r="M509" i="36"/>
  <c r="E342" i="39"/>
  <c r="C342"/>
  <c r="T513" i="36" l="1"/>
  <c r="K21" i="51"/>
  <c r="K22" s="1"/>
  <c r="T517" i="36"/>
  <c r="F21" i="51"/>
  <c r="F22" s="1"/>
  <c r="D342" i="39"/>
  <c r="D343" s="1"/>
  <c r="D50" i="51"/>
  <c r="D51" s="1"/>
  <c r="G1078" i="39"/>
  <c r="G337"/>
  <c r="D350"/>
  <c r="M1118" i="36"/>
  <c r="D358" i="39"/>
  <c r="M1143" i="36"/>
  <c r="D354" i="39"/>
  <c r="F313"/>
  <c r="F314" s="1"/>
  <c r="I24" i="42"/>
  <c r="I313" i="39"/>
  <c r="I314" s="1"/>
  <c r="J24" i="42"/>
  <c r="J313" i="39"/>
  <c r="J314" s="1"/>
  <c r="H24" i="42"/>
  <c r="H313" i="39"/>
  <c r="H314" s="1"/>
  <c r="I338"/>
  <c r="H338"/>
  <c r="F63" i="42"/>
  <c r="F342" i="39"/>
  <c r="F343" s="1"/>
  <c r="K24" i="42"/>
  <c r="K313" i="39"/>
  <c r="K314" s="1"/>
  <c r="G338"/>
  <c r="J338"/>
  <c r="K338"/>
  <c r="H267"/>
  <c r="H268"/>
  <c r="C343"/>
  <c r="D345"/>
  <c r="E345"/>
  <c r="E343"/>
  <c r="C345"/>
  <c r="I1078"/>
  <c r="K1078"/>
  <c r="J1078"/>
  <c r="H1078"/>
  <c r="I327"/>
  <c r="K327"/>
  <c r="J327"/>
  <c r="G24" i="42"/>
  <c r="F24"/>
  <c r="G312" i="39"/>
  <c r="G314" s="1"/>
  <c r="E346"/>
  <c r="E63" i="42"/>
  <c r="C346" i="39"/>
  <c r="C63" i="42"/>
  <c r="M511" i="36"/>
  <c r="D63" i="42"/>
  <c r="F345" i="39"/>
  <c r="F361" s="1"/>
  <c r="H328"/>
  <c r="T493" i="36"/>
  <c r="D54" i="51" l="1"/>
  <c r="D55" s="1"/>
  <c r="T515" i="36"/>
  <c r="P1143"/>
  <c r="P1118"/>
  <c r="K37" i="51"/>
  <c r="K38" s="1"/>
  <c r="T1099" i="36"/>
  <c r="F54" i="51"/>
  <c r="F55" s="1"/>
  <c r="F66"/>
  <c r="F65"/>
  <c r="G61"/>
  <c r="F62"/>
  <c r="F61"/>
  <c r="G58"/>
  <c r="F58"/>
  <c r="G66"/>
  <c r="G65"/>
  <c r="G339" i="39"/>
  <c r="D362"/>
  <c r="D363" s="1"/>
  <c r="D346"/>
  <c r="D347" s="1"/>
  <c r="D351"/>
  <c r="D359"/>
  <c r="D355"/>
  <c r="F354"/>
  <c r="I339"/>
  <c r="K339"/>
  <c r="H339"/>
  <c r="C347"/>
  <c r="H269"/>
  <c r="I329"/>
  <c r="K329"/>
  <c r="G329"/>
  <c r="F358"/>
  <c r="F346"/>
  <c r="F347" s="1"/>
  <c r="H329"/>
  <c r="H330" s="1"/>
  <c r="J329"/>
  <c r="F350"/>
  <c r="J268"/>
  <c r="I268"/>
  <c r="J339"/>
  <c r="E347"/>
  <c r="M24" i="42"/>
  <c r="F22" i="44"/>
  <c r="O24" i="43"/>
  <c r="N24" i="42"/>
  <c r="H341" i="39"/>
  <c r="J328"/>
  <c r="I328"/>
  <c r="K328"/>
  <c r="I267"/>
  <c r="F349"/>
  <c r="F357"/>
  <c r="F353"/>
  <c r="G328"/>
  <c r="I62" i="43"/>
  <c r="H342" i="39"/>
  <c r="T509" i="36"/>
  <c r="I342" i="39"/>
  <c r="G342"/>
  <c r="Q519" i="36" l="1"/>
  <c r="Q1143"/>
  <c r="R519"/>
  <c r="Q1118"/>
  <c r="G62" i="51"/>
  <c r="G63" s="1"/>
  <c r="G57"/>
  <c r="G59" s="1"/>
  <c r="F70"/>
  <c r="F71" s="1"/>
  <c r="F59"/>
  <c r="K342" i="39"/>
  <c r="K50" i="51"/>
  <c r="K51" s="1"/>
  <c r="F63"/>
  <c r="F67"/>
  <c r="G67"/>
  <c r="H65"/>
  <c r="H66"/>
  <c r="F355" i="39"/>
  <c r="F362"/>
  <c r="F363" s="1"/>
  <c r="G330"/>
  <c r="F351"/>
  <c r="F359"/>
  <c r="J63" i="42"/>
  <c r="J342" i="39"/>
  <c r="G354"/>
  <c r="G350"/>
  <c r="G358"/>
  <c r="J267"/>
  <c r="J269" s="1"/>
  <c r="I269"/>
  <c r="D22" i="44"/>
  <c r="F30" i="45"/>
  <c r="H345" i="39"/>
  <c r="H343"/>
  <c r="J341"/>
  <c r="J330"/>
  <c r="I341"/>
  <c r="I330"/>
  <c r="K341"/>
  <c r="K330"/>
  <c r="O24" i="42"/>
  <c r="G349" i="39"/>
  <c r="J346"/>
  <c r="H346"/>
  <c r="H63" i="42"/>
  <c r="G357" i="39"/>
  <c r="G63" i="42"/>
  <c r="T511" i="36"/>
  <c r="K63" i="42"/>
  <c r="I346" i="39"/>
  <c r="I63" i="42"/>
  <c r="G353" i="39"/>
  <c r="G341"/>
  <c r="G343" s="1"/>
  <c r="R1118" i="36" l="1"/>
  <c r="R1143"/>
  <c r="S1143"/>
  <c r="H57" i="51"/>
  <c r="H61"/>
  <c r="H62"/>
  <c r="H58"/>
  <c r="K54"/>
  <c r="K55" s="1"/>
  <c r="G70"/>
  <c r="G71" s="1"/>
  <c r="H67"/>
  <c r="I61"/>
  <c r="I62"/>
  <c r="I58"/>
  <c r="I57"/>
  <c r="I66"/>
  <c r="I65"/>
  <c r="K346" i="39"/>
  <c r="G359"/>
  <c r="G355"/>
  <c r="G351"/>
  <c r="H350"/>
  <c r="K267"/>
  <c r="K268"/>
  <c r="G346"/>
  <c r="H358"/>
  <c r="H354"/>
  <c r="H349"/>
  <c r="H347"/>
  <c r="I345"/>
  <c r="I347" s="1"/>
  <c r="I343"/>
  <c r="K345"/>
  <c r="K343"/>
  <c r="J345"/>
  <c r="J347" s="1"/>
  <c r="J343"/>
  <c r="M63" i="42"/>
  <c r="O62" i="43"/>
  <c r="N63" i="42"/>
  <c r="H353" i="39"/>
  <c r="H357"/>
  <c r="G345"/>
  <c r="G361" s="1"/>
  <c r="H361" s="1"/>
  <c r="H22" i="44"/>
  <c r="S519" i="36" l="1"/>
  <c r="S1118"/>
  <c r="H59" i="51"/>
  <c r="H63"/>
  <c r="I63"/>
  <c r="J62"/>
  <c r="J61"/>
  <c r="J57"/>
  <c r="J58"/>
  <c r="I59"/>
  <c r="T519" i="36"/>
  <c r="J65" i="51"/>
  <c r="J66"/>
  <c r="H70"/>
  <c r="H71" s="1"/>
  <c r="I67"/>
  <c r="K347" i="39"/>
  <c r="H359"/>
  <c r="K269"/>
  <c r="I354"/>
  <c r="G362"/>
  <c r="I350"/>
  <c r="J349"/>
  <c r="I358"/>
  <c r="H351"/>
  <c r="H355"/>
  <c r="I361"/>
  <c r="J361" s="1"/>
  <c r="K361" s="1"/>
  <c r="G347"/>
  <c r="O63" i="42"/>
  <c r="I349" i="39"/>
  <c r="I353"/>
  <c r="I357"/>
  <c r="J67" i="51" l="1"/>
  <c r="J59"/>
  <c r="K61"/>
  <c r="K62"/>
  <c r="K58"/>
  <c r="K57"/>
  <c r="J63"/>
  <c r="K66"/>
  <c r="K65"/>
  <c r="I70"/>
  <c r="I71" s="1"/>
  <c r="I359" i="39"/>
  <c r="H362"/>
  <c r="H363" s="1"/>
  <c r="K354"/>
  <c r="J354"/>
  <c r="K350"/>
  <c r="J350"/>
  <c r="J351" s="1"/>
  <c r="J358"/>
  <c r="I351"/>
  <c r="I355"/>
  <c r="G363"/>
  <c r="G30" i="45"/>
  <c r="J357" i="39"/>
  <c r="J353"/>
  <c r="J70" i="51" l="1"/>
  <c r="J71" s="1"/>
  <c r="K63"/>
  <c r="K59"/>
  <c r="K67"/>
  <c r="K358" i="39"/>
  <c r="J359"/>
  <c r="K349"/>
  <c r="K351" s="1"/>
  <c r="K353"/>
  <c r="K355" s="1"/>
  <c r="J355"/>
  <c r="I362"/>
  <c r="I363" s="1"/>
  <c r="K357"/>
  <c r="H30" i="45"/>
  <c r="T1143" i="36"/>
  <c r="T1118"/>
  <c r="K359" i="39" l="1"/>
  <c r="J362"/>
  <c r="J363" s="1"/>
  <c r="I30" i="45"/>
  <c r="M363" i="36"/>
  <c r="T363"/>
  <c r="C203" i="39"/>
  <c r="M781" i="36"/>
  <c r="E559" i="39"/>
  <c r="F559"/>
  <c r="G559"/>
  <c r="H559"/>
  <c r="I559"/>
  <c r="J559"/>
  <c r="T781" i="36"/>
  <c r="C559" i="39"/>
  <c r="M576" i="36"/>
  <c r="M228"/>
  <c r="D448" i="39"/>
  <c r="K559" l="1"/>
  <c r="D559"/>
  <c r="K70" i="51"/>
  <c r="K71" s="1"/>
  <c r="D441" i="39"/>
  <c r="C461"/>
  <c r="C462" s="1"/>
  <c r="C976"/>
  <c r="H23" i="42"/>
  <c r="H203" i="39"/>
  <c r="I23" i="42"/>
  <c r="I203" i="39"/>
  <c r="E23" i="42"/>
  <c r="E203" i="39"/>
  <c r="K23" i="42"/>
  <c r="K203" i="39"/>
  <c r="G23" i="42"/>
  <c r="G203" i="39"/>
  <c r="K362"/>
  <c r="D23" i="42"/>
  <c r="D203" i="39"/>
  <c r="J23" i="42"/>
  <c r="J203" i="39"/>
  <c r="F23" i="42"/>
  <c r="F203" i="39"/>
  <c r="J30" i="45"/>
  <c r="C23" i="42"/>
  <c r="C213" i="39"/>
  <c r="G213"/>
  <c r="M23" i="42" l="1"/>
  <c r="K30" i="45"/>
  <c r="K363" i="39"/>
  <c r="T269" i="36"/>
  <c r="E717" i="39" l="1"/>
  <c r="E1025"/>
  <c r="F72" i="43"/>
  <c r="D608" i="39"/>
  <c r="C608"/>
  <c r="G14" i="43"/>
  <c r="D550" i="39"/>
  <c r="D950" s="1"/>
  <c r="E550"/>
  <c r="E950" s="1"/>
  <c r="F550"/>
  <c r="F950" s="1"/>
  <c r="H550"/>
  <c r="H950" s="1"/>
  <c r="I550"/>
  <c r="I950" s="1"/>
  <c r="J550"/>
  <c r="J950" s="1"/>
  <c r="K550"/>
  <c r="C550"/>
  <c r="C950" s="1"/>
  <c r="D438"/>
  <c r="E438"/>
  <c r="F438"/>
  <c r="G438"/>
  <c r="J28" i="43" s="1"/>
  <c r="H438" i="39"/>
  <c r="I438"/>
  <c r="J438"/>
  <c r="K438"/>
  <c r="C438"/>
  <c r="I63" i="43"/>
  <c r="E63"/>
  <c r="E25"/>
  <c r="M234" i="36"/>
  <c r="G506" i="39"/>
  <c r="T678" i="36"/>
  <c r="H181" i="40"/>
  <c r="I181"/>
  <c r="J181"/>
  <c r="T263" i="36"/>
  <c r="K181" i="40" s="1"/>
  <c r="G181"/>
  <c r="D44" i="45"/>
  <c r="D43"/>
  <c r="D38"/>
  <c r="D37"/>
  <c r="D36"/>
  <c r="D31"/>
  <c r="D29"/>
  <c r="D24"/>
  <c r="D20"/>
  <c r="D19"/>
  <c r="D18"/>
  <c r="D17"/>
  <c r="D16"/>
  <c r="D15"/>
  <c r="D14"/>
  <c r="D9"/>
  <c r="D62" i="42"/>
  <c r="E62"/>
  <c r="F62"/>
  <c r="G62"/>
  <c r="H62"/>
  <c r="I62"/>
  <c r="J62"/>
  <c r="K62"/>
  <c r="G55" i="43"/>
  <c r="E55"/>
  <c r="H17"/>
  <c r="K897" i="39"/>
  <c r="J897"/>
  <c r="I897"/>
  <c r="H897"/>
  <c r="F897"/>
  <c r="E897"/>
  <c r="D897"/>
  <c r="I54" i="43"/>
  <c r="E54"/>
  <c r="K847" i="39"/>
  <c r="K849" s="1"/>
  <c r="J847"/>
  <c r="J849" s="1"/>
  <c r="I847"/>
  <c r="I849" s="1"/>
  <c r="H847"/>
  <c r="H849" s="1"/>
  <c r="G847"/>
  <c r="F847"/>
  <c r="F849" s="1"/>
  <c r="E847"/>
  <c r="E849" s="1"/>
  <c r="D847"/>
  <c r="D849" s="1"/>
  <c r="C16" i="43"/>
  <c r="F809" i="39"/>
  <c r="K801"/>
  <c r="J801"/>
  <c r="I801"/>
  <c r="H801"/>
  <c r="G801"/>
  <c r="H34" i="43" s="1"/>
  <c r="F801" i="39"/>
  <c r="E801"/>
  <c r="D801"/>
  <c r="D800"/>
  <c r="D1006" s="1"/>
  <c r="I71" i="43"/>
  <c r="K763" i="39"/>
  <c r="K765" s="1"/>
  <c r="K756"/>
  <c r="J756"/>
  <c r="J1012" s="1"/>
  <c r="I756"/>
  <c r="I1012" s="1"/>
  <c r="H756"/>
  <c r="H1012" s="1"/>
  <c r="G756"/>
  <c r="F756"/>
  <c r="F1012" s="1"/>
  <c r="E756"/>
  <c r="E1012" s="1"/>
  <c r="D756"/>
  <c r="D1012" s="1"/>
  <c r="K755"/>
  <c r="J755"/>
  <c r="I755"/>
  <c r="H755"/>
  <c r="G755"/>
  <c r="H33" i="43" s="1"/>
  <c r="F755" i="39"/>
  <c r="E755"/>
  <c r="D755"/>
  <c r="K754"/>
  <c r="J754"/>
  <c r="I754"/>
  <c r="H754"/>
  <c r="G754"/>
  <c r="F754"/>
  <c r="F1004" s="1"/>
  <c r="E754"/>
  <c r="E1004" s="1"/>
  <c r="D754"/>
  <c r="D1004" s="1"/>
  <c r="J70" i="43"/>
  <c r="D714" i="39"/>
  <c r="D1021" s="1"/>
  <c r="E713"/>
  <c r="E1020" s="1"/>
  <c r="D713"/>
  <c r="D1020" s="1"/>
  <c r="F712"/>
  <c r="F1019" s="1"/>
  <c r="E712"/>
  <c r="E1019" s="1"/>
  <c r="D712"/>
  <c r="D1019" s="1"/>
  <c r="C70" i="43"/>
  <c r="K704" i="39"/>
  <c r="K1011" s="1"/>
  <c r="J704"/>
  <c r="J1011" s="1"/>
  <c r="I704"/>
  <c r="I1011" s="1"/>
  <c r="H704"/>
  <c r="H1011" s="1"/>
  <c r="G704"/>
  <c r="F704"/>
  <c r="F1011" s="1"/>
  <c r="E704"/>
  <c r="E1011" s="1"/>
  <c r="D704"/>
  <c r="D1011" s="1"/>
  <c r="F703"/>
  <c r="F1010" s="1"/>
  <c r="E703"/>
  <c r="E1010" s="1"/>
  <c r="D703"/>
  <c r="D1010" s="1"/>
  <c r="K702"/>
  <c r="J702"/>
  <c r="I702"/>
  <c r="H702"/>
  <c r="G702"/>
  <c r="F702"/>
  <c r="E702"/>
  <c r="D702"/>
  <c r="G32" i="43"/>
  <c r="K700" i="39"/>
  <c r="K1007" s="1"/>
  <c r="J700"/>
  <c r="J1007" s="1"/>
  <c r="I700"/>
  <c r="I1007" s="1"/>
  <c r="H700"/>
  <c r="H1007" s="1"/>
  <c r="G700"/>
  <c r="F700"/>
  <c r="F1007" s="1"/>
  <c r="E700"/>
  <c r="E1007" s="1"/>
  <c r="D700"/>
  <c r="D1007" s="1"/>
  <c r="D32" i="43"/>
  <c r="C32"/>
  <c r="K659" i="39"/>
  <c r="J659"/>
  <c r="I659"/>
  <c r="H659"/>
  <c r="D659"/>
  <c r="K658"/>
  <c r="J658"/>
  <c r="I658"/>
  <c r="H658"/>
  <c r="D658"/>
  <c r="D1075" s="1"/>
  <c r="K656"/>
  <c r="J656"/>
  <c r="I656"/>
  <c r="H656"/>
  <c r="G656"/>
  <c r="F656"/>
  <c r="E656"/>
  <c r="K649"/>
  <c r="J649"/>
  <c r="I649"/>
  <c r="H649"/>
  <c r="G649"/>
  <c r="F649"/>
  <c r="E649"/>
  <c r="D649"/>
  <c r="K648"/>
  <c r="K1063" s="1"/>
  <c r="J648"/>
  <c r="J1063" s="1"/>
  <c r="I648"/>
  <c r="I1063" s="1"/>
  <c r="H648"/>
  <c r="H1063" s="1"/>
  <c r="G648"/>
  <c r="G1063" s="1"/>
  <c r="D648"/>
  <c r="D1063" s="1"/>
  <c r="F606"/>
  <c r="E606"/>
  <c r="D606"/>
  <c r="K605"/>
  <c r="J605"/>
  <c r="J1073" s="1"/>
  <c r="I605"/>
  <c r="I1073" s="1"/>
  <c r="H605"/>
  <c r="H1073" s="1"/>
  <c r="G605"/>
  <c r="G1073" s="1"/>
  <c r="F605"/>
  <c r="E605"/>
  <c r="E1073" s="1"/>
  <c r="D605"/>
  <c r="D599"/>
  <c r="D1067" s="1"/>
  <c r="D598"/>
  <c r="F597"/>
  <c r="F1065" s="1"/>
  <c r="E597"/>
  <c r="E1065" s="1"/>
  <c r="D597"/>
  <c r="D1065" s="1"/>
  <c r="K596"/>
  <c r="K1064" s="1"/>
  <c r="J596"/>
  <c r="J1064" s="1"/>
  <c r="I596"/>
  <c r="I1064" s="1"/>
  <c r="H596"/>
  <c r="H1064" s="1"/>
  <c r="G596"/>
  <c r="F596"/>
  <c r="F1064" s="1"/>
  <c r="E596"/>
  <c r="E1064" s="1"/>
  <c r="D596"/>
  <c r="D1064" s="1"/>
  <c r="K15" i="43"/>
  <c r="D15"/>
  <c r="K505" i="39"/>
  <c r="D505"/>
  <c r="G67" i="43"/>
  <c r="F500" i="39"/>
  <c r="E500"/>
  <c r="C67" i="43"/>
  <c r="K491" i="39"/>
  <c r="J491"/>
  <c r="I491"/>
  <c r="H491"/>
  <c r="G491"/>
  <c r="H29" i="43" s="1"/>
  <c r="F491" i="39"/>
  <c r="E491"/>
  <c r="D491"/>
  <c r="K490"/>
  <c r="J490"/>
  <c r="I490"/>
  <c r="H490"/>
  <c r="G490"/>
  <c r="G29" i="43" s="1"/>
  <c r="F490" i="39"/>
  <c r="E490"/>
  <c r="D490"/>
  <c r="K489"/>
  <c r="J489"/>
  <c r="I489"/>
  <c r="H489"/>
  <c r="G489"/>
  <c r="F489"/>
  <c r="E489"/>
  <c r="D489"/>
  <c r="C29" i="43"/>
  <c r="I66"/>
  <c r="G66"/>
  <c r="C66"/>
  <c r="F437" i="39"/>
  <c r="E437"/>
  <c r="D437"/>
  <c r="K436"/>
  <c r="J436"/>
  <c r="I436"/>
  <c r="H436"/>
  <c r="G436"/>
  <c r="H28" i="43" s="1"/>
  <c r="F436" i="39"/>
  <c r="E436"/>
  <c r="D436"/>
  <c r="K435"/>
  <c r="J435"/>
  <c r="I435"/>
  <c r="H435"/>
  <c r="G435"/>
  <c r="G28" i="43" s="1"/>
  <c r="F435" i="39"/>
  <c r="E435"/>
  <c r="D435"/>
  <c r="K434"/>
  <c r="J434"/>
  <c r="I434"/>
  <c r="H434"/>
  <c r="G434"/>
  <c r="F434"/>
  <c r="E434"/>
  <c r="D434"/>
  <c r="K433"/>
  <c r="J433"/>
  <c r="I433"/>
  <c r="G433"/>
  <c r="C28" i="43" s="1"/>
  <c r="F433" i="39"/>
  <c r="E433"/>
  <c r="D433"/>
  <c r="E59" i="43"/>
  <c r="K389" i="39"/>
  <c r="J389"/>
  <c r="I389"/>
  <c r="H389"/>
  <c r="G389"/>
  <c r="H21" i="43" s="1"/>
  <c r="F389" i="39"/>
  <c r="E389"/>
  <c r="D389"/>
  <c r="E21" i="43"/>
  <c r="D387" i="39"/>
  <c r="E387"/>
  <c r="F387"/>
  <c r="G387"/>
  <c r="C21" i="43" s="1"/>
  <c r="H387" i="39"/>
  <c r="I25" i="43"/>
  <c r="D25"/>
  <c r="D207" i="39"/>
  <c r="E207"/>
  <c r="F207"/>
  <c r="G207"/>
  <c r="H207"/>
  <c r="I207"/>
  <c r="J207"/>
  <c r="K207"/>
  <c r="K208" s="1"/>
  <c r="K210" s="1"/>
  <c r="D202"/>
  <c r="D204" s="1"/>
  <c r="E202"/>
  <c r="E204" s="1"/>
  <c r="F202"/>
  <c r="F204" s="1"/>
  <c r="H202"/>
  <c r="H204" s="1"/>
  <c r="I202"/>
  <c r="I204" s="1"/>
  <c r="J202"/>
  <c r="J204" s="1"/>
  <c r="K202"/>
  <c r="K204" s="1"/>
  <c r="G51" i="43"/>
  <c r="D163" i="39"/>
  <c r="E163"/>
  <c r="D154"/>
  <c r="D157" s="1"/>
  <c r="E154"/>
  <c r="E157" s="1"/>
  <c r="F154"/>
  <c r="F157" s="1"/>
  <c r="G154"/>
  <c r="H154"/>
  <c r="H157" s="1"/>
  <c r="I154"/>
  <c r="I157" s="1"/>
  <c r="J154"/>
  <c r="J157" s="1"/>
  <c r="K154"/>
  <c r="K157" s="1"/>
  <c r="D13" i="43"/>
  <c r="E57"/>
  <c r="K118" i="39"/>
  <c r="K120" s="1"/>
  <c r="D111"/>
  <c r="E111"/>
  <c r="F111"/>
  <c r="G111"/>
  <c r="H19" i="43" s="1"/>
  <c r="H111" i="39"/>
  <c r="I111"/>
  <c r="J111"/>
  <c r="K111"/>
  <c r="D110"/>
  <c r="E110"/>
  <c r="F110"/>
  <c r="E56" i="43"/>
  <c r="K74" i="39"/>
  <c r="K76" s="1"/>
  <c r="D67"/>
  <c r="E67"/>
  <c r="F67"/>
  <c r="G67"/>
  <c r="H67"/>
  <c r="I67"/>
  <c r="J67"/>
  <c r="K67"/>
  <c r="D66"/>
  <c r="E66"/>
  <c r="F66"/>
  <c r="D30"/>
  <c r="D964" s="1"/>
  <c r="D182" i="40"/>
  <c r="E182"/>
  <c r="F182"/>
  <c r="G182"/>
  <c r="H182"/>
  <c r="I182"/>
  <c r="J182"/>
  <c r="K182"/>
  <c r="D181"/>
  <c r="E181"/>
  <c r="F181"/>
  <c r="D179"/>
  <c r="E179"/>
  <c r="F179"/>
  <c r="D147"/>
  <c r="D145"/>
  <c r="E145"/>
  <c r="F145"/>
  <c r="E116"/>
  <c r="F116"/>
  <c r="D115"/>
  <c r="D114"/>
  <c r="E114"/>
  <c r="F114"/>
  <c r="D78"/>
  <c r="D77"/>
  <c r="D49"/>
  <c r="D48"/>
  <c r="D47"/>
  <c r="E47"/>
  <c r="F47"/>
  <c r="D46"/>
  <c r="E46"/>
  <c r="F46"/>
  <c r="G46"/>
  <c r="H46"/>
  <c r="I46"/>
  <c r="J46"/>
  <c r="K46"/>
  <c r="D13"/>
  <c r="E13"/>
  <c r="F13"/>
  <c r="D12"/>
  <c r="E12"/>
  <c r="F12"/>
  <c r="G12"/>
  <c r="H12"/>
  <c r="I12"/>
  <c r="J12"/>
  <c r="K12"/>
  <c r="D18" i="39"/>
  <c r="E18"/>
  <c r="F18"/>
  <c r="G18"/>
  <c r="H18"/>
  <c r="I18"/>
  <c r="J18"/>
  <c r="K18"/>
  <c r="D17"/>
  <c r="D16"/>
  <c r="E16"/>
  <c r="F16"/>
  <c r="G16"/>
  <c r="H16"/>
  <c r="I16"/>
  <c r="J16"/>
  <c r="K16"/>
  <c r="D15"/>
  <c r="D14"/>
  <c r="E14"/>
  <c r="E944" s="1"/>
  <c r="F14"/>
  <c r="F944" s="1"/>
  <c r="G14"/>
  <c r="H14"/>
  <c r="H944" s="1"/>
  <c r="I14"/>
  <c r="I944" s="1"/>
  <c r="J14"/>
  <c r="J944" s="1"/>
  <c r="K14"/>
  <c r="K944" s="1"/>
  <c r="E13"/>
  <c r="F13"/>
  <c r="G13"/>
  <c r="H13"/>
  <c r="I13"/>
  <c r="J13"/>
  <c r="K13"/>
  <c r="D12"/>
  <c r="F12"/>
  <c r="G12"/>
  <c r="H12"/>
  <c r="I12"/>
  <c r="J12"/>
  <c r="K12"/>
  <c r="D11"/>
  <c r="K506"/>
  <c r="J29" l="1"/>
  <c r="J961" s="1"/>
  <c r="K29"/>
  <c r="K961" s="1"/>
  <c r="G29"/>
  <c r="G961" s="1"/>
  <c r="H29"/>
  <c r="H961" s="1"/>
  <c r="D29"/>
  <c r="D961" s="1"/>
  <c r="F29"/>
  <c r="F961" s="1"/>
  <c r="I29"/>
  <c r="I961" s="1"/>
  <c r="E29"/>
  <c r="E961" s="1"/>
  <c r="H13" i="43"/>
  <c r="G157" i="39"/>
  <c r="T270" i="36"/>
  <c r="E943" i="39"/>
  <c r="K943"/>
  <c r="H949"/>
  <c r="F949"/>
  <c r="G943"/>
  <c r="G944"/>
  <c r="J949"/>
  <c r="D949"/>
  <c r="E949"/>
  <c r="I943"/>
  <c r="H943"/>
  <c r="I949"/>
  <c r="D941"/>
  <c r="J943"/>
  <c r="F943"/>
  <c r="K949"/>
  <c r="G949"/>
  <c r="G399"/>
  <c r="K399"/>
  <c r="K963"/>
  <c r="L33" i="43"/>
  <c r="G1012" i="39"/>
  <c r="J399"/>
  <c r="D399"/>
  <c r="D963"/>
  <c r="H399"/>
  <c r="I946"/>
  <c r="D1066"/>
  <c r="D1068" s="1"/>
  <c r="F399"/>
  <c r="E399"/>
  <c r="I399"/>
  <c r="D947"/>
  <c r="D1076"/>
  <c r="D944"/>
  <c r="E946"/>
  <c r="J946"/>
  <c r="F946"/>
  <c r="K946"/>
  <c r="G946"/>
  <c r="H946"/>
  <c r="D946"/>
  <c r="D26"/>
  <c r="H16" i="43"/>
  <c r="G849" i="39"/>
  <c r="I942"/>
  <c r="K942"/>
  <c r="G942"/>
  <c r="D945"/>
  <c r="J942"/>
  <c r="F942"/>
  <c r="D942"/>
  <c r="H942"/>
  <c r="K493"/>
  <c r="K950" s="1"/>
  <c r="T681" i="36"/>
  <c r="C17" i="43"/>
  <c r="G897" i="39"/>
  <c r="K1073"/>
  <c r="F1073"/>
  <c r="E33" i="42"/>
  <c r="E707" i="39"/>
  <c r="E20" i="42"/>
  <c r="E392" i="39"/>
  <c r="F20" i="42"/>
  <c r="F392" i="39"/>
  <c r="J809"/>
  <c r="J811" s="1"/>
  <c r="E809"/>
  <c r="E811" s="1"/>
  <c r="I809"/>
  <c r="I811" s="1"/>
  <c r="G809"/>
  <c r="K809"/>
  <c r="K811" s="1"/>
  <c r="D1024"/>
  <c r="D809"/>
  <c r="D811" s="1"/>
  <c r="H809"/>
  <c r="H811" s="1"/>
  <c r="E1009"/>
  <c r="I1009"/>
  <c r="F1074"/>
  <c r="E1074"/>
  <c r="J651"/>
  <c r="H651"/>
  <c r="K651"/>
  <c r="H14" i="43"/>
  <c r="G1064" i="39"/>
  <c r="I651"/>
  <c r="D1009"/>
  <c r="H1009"/>
  <c r="C33" i="43"/>
  <c r="G1004" i="39"/>
  <c r="F32" i="43"/>
  <c r="G1007" i="39"/>
  <c r="J32" i="43"/>
  <c r="G1011" i="39"/>
  <c r="K1009"/>
  <c r="F1009"/>
  <c r="J1009"/>
  <c r="H32" i="43"/>
  <c r="G1009" i="39"/>
  <c r="J558"/>
  <c r="J560" s="1"/>
  <c r="I59" i="43"/>
  <c r="I558" i="39"/>
  <c r="I560" s="1"/>
  <c r="J10" i="43"/>
  <c r="D558" i="39"/>
  <c r="D560" s="1"/>
  <c r="H558"/>
  <c r="H560" s="1"/>
  <c r="F558"/>
  <c r="F560" s="1"/>
  <c r="L21" i="43"/>
  <c r="E558" i="39"/>
  <c r="E560" s="1"/>
  <c r="H10" i="43"/>
  <c r="K558" i="39"/>
  <c r="K560" s="1"/>
  <c r="F10" i="43"/>
  <c r="D10"/>
  <c r="E10"/>
  <c r="D651" i="39"/>
  <c r="G651"/>
  <c r="D716"/>
  <c r="C52" i="43"/>
  <c r="D610" i="39"/>
  <c r="D165"/>
  <c r="D167" s="1"/>
  <c r="E165"/>
  <c r="E167" s="1"/>
  <c r="G53" i="43"/>
  <c r="G558" i="39"/>
  <c r="G202"/>
  <c r="D551"/>
  <c r="I551"/>
  <c r="K551"/>
  <c r="F551"/>
  <c r="E551"/>
  <c r="H551"/>
  <c r="J551"/>
  <c r="D500"/>
  <c r="K212"/>
  <c r="K249"/>
  <c r="K251" s="1"/>
  <c r="K660"/>
  <c r="K757"/>
  <c r="D656"/>
  <c r="D1073" s="1"/>
  <c r="D957" l="1"/>
  <c r="D1013"/>
  <c r="D1028" s="1"/>
  <c r="D1036"/>
  <c r="K909"/>
  <c r="O72" i="43"/>
  <c r="G811" i="39"/>
  <c r="K767"/>
  <c r="O53" i="43"/>
  <c r="G560" i="39"/>
  <c r="G204"/>
  <c r="K862"/>
  <c r="K263"/>
  <c r="T438" i="36"/>
  <c r="D1074" i="39"/>
  <c r="D1080" s="1"/>
  <c r="K664"/>
  <c r="K562"/>
  <c r="K260" l="1"/>
  <c r="K261" s="1"/>
  <c r="D1092"/>
  <c r="D1084"/>
  <c r="M1084" i="36"/>
  <c r="M1073"/>
  <c r="M1258"/>
  <c r="M1257"/>
  <c r="M1256"/>
  <c r="M1255"/>
  <c r="M1226"/>
  <c r="M1225"/>
  <c r="M1231"/>
  <c r="M1186"/>
  <c r="M1188" s="1"/>
  <c r="M1175"/>
  <c r="M1041"/>
  <c r="D74" i="42"/>
  <c r="M1019" i="36"/>
  <c r="D73" i="42"/>
  <c r="M996" i="36"/>
  <c r="M983"/>
  <c r="D1025" i="39" l="1"/>
  <c r="D1026" s="1"/>
  <c r="M1211" i="36"/>
  <c r="D16" i="42"/>
  <c r="D898" i="39"/>
  <c r="D54" i="42"/>
  <c r="D859" i="39"/>
  <c r="D15" i="42"/>
  <c r="D850" i="39"/>
  <c r="D55" i="42"/>
  <c r="D906" i="39"/>
  <c r="D72" i="42"/>
  <c r="D717" i="39"/>
  <c r="D718" s="1"/>
  <c r="D35" i="42"/>
  <c r="D803" i="39"/>
  <c r="D34" i="42"/>
  <c r="D758" i="39"/>
  <c r="M1030" i="36"/>
  <c r="M1086"/>
  <c r="M1230"/>
  <c r="M1010"/>
  <c r="M1061"/>
  <c r="M1227"/>
  <c r="M1232"/>
  <c r="M1254"/>
  <c r="M1222"/>
  <c r="M943"/>
  <c r="D914" i="39" l="1"/>
  <c r="D915" s="1"/>
  <c r="M1165" i="36"/>
  <c r="D772" i="39"/>
  <c r="D773" s="1"/>
  <c r="D814"/>
  <c r="D867"/>
  <c r="D868" s="1"/>
  <c r="D707"/>
  <c r="D1014"/>
  <c r="D1015" s="1"/>
  <c r="M1104" i="36"/>
  <c r="D863" i="39"/>
  <c r="M1105" i="36"/>
  <c r="D910" i="39"/>
  <c r="M1156" i="36"/>
  <c r="D768" i="39"/>
  <c r="M985" i="36"/>
  <c r="D33" i="42"/>
  <c r="M1123" i="36"/>
  <c r="M1157"/>
  <c r="M1124"/>
  <c r="M1233"/>
  <c r="M918"/>
  <c r="M892"/>
  <c r="M830"/>
  <c r="M803"/>
  <c r="M767"/>
  <c r="D28" i="42"/>
  <c r="M532" i="36"/>
  <c r="D64" i="42"/>
  <c r="D51"/>
  <c r="M307" i="36"/>
  <c r="M289"/>
  <c r="F810" i="39"/>
  <c r="F811" s="1"/>
  <c r="F73" i="42"/>
  <c r="F715" i="39"/>
  <c r="F1023" s="1"/>
  <c r="F714"/>
  <c r="F1021" s="1"/>
  <c r="F713"/>
  <c r="F1020" s="1"/>
  <c r="F648"/>
  <c r="F1063" s="1"/>
  <c r="F599"/>
  <c r="F1067" s="1"/>
  <c r="F598"/>
  <c r="F1066" s="1"/>
  <c r="F53" i="42"/>
  <c r="F506" i="39"/>
  <c r="F505"/>
  <c r="F963" s="1"/>
  <c r="F501"/>
  <c r="F64" i="42"/>
  <c r="F57"/>
  <c r="F56"/>
  <c r="F178" i="40"/>
  <c r="F49"/>
  <c r="D178"/>
  <c r="M122" i="36"/>
  <c r="D51" i="40" s="1"/>
  <c r="D25" i="39" l="1"/>
  <c r="D956" s="1"/>
  <c r="D1069"/>
  <c r="D1070" s="1"/>
  <c r="M1164" i="36"/>
  <c r="M1166"/>
  <c r="D818" i="39"/>
  <c r="D819" s="1"/>
  <c r="D1029"/>
  <c r="D1030" s="1"/>
  <c r="F78" i="40"/>
  <c r="F15" i="42"/>
  <c r="F850" i="39"/>
  <c r="F55" i="42"/>
  <c r="F906" i="39"/>
  <c r="F16" i="42"/>
  <c r="F898" i="39"/>
  <c r="F54" i="42"/>
  <c r="F859" i="39"/>
  <c r="M1160" i="36"/>
  <c r="D721" i="39"/>
  <c r="F34" i="42"/>
  <c r="F758" i="39"/>
  <c r="D12" i="42"/>
  <c r="D158" i="39"/>
  <c r="D14" i="42"/>
  <c r="D552" i="39"/>
  <c r="D553" s="1"/>
  <c r="D29" i="42"/>
  <c r="D495" i="39"/>
  <c r="F17" i="42"/>
  <c r="F69" i="39"/>
  <c r="F29" i="42"/>
  <c r="F495" i="39"/>
  <c r="D59" i="42"/>
  <c r="D400" i="39"/>
  <c r="D13" i="42"/>
  <c r="D601" i="39"/>
  <c r="D20" i="42"/>
  <c r="D392" i="39"/>
  <c r="F18" i="42"/>
  <c r="F113" i="39"/>
  <c r="F14" i="42"/>
  <c r="F552" i="39"/>
  <c r="F553" s="1"/>
  <c r="D18" i="42"/>
  <c r="D113" i="39"/>
  <c r="D30" i="42"/>
  <c r="D652" i="39"/>
  <c r="D653" s="1"/>
  <c r="F59" i="42"/>
  <c r="F400" i="39"/>
  <c r="D17" i="42"/>
  <c r="D69" i="39"/>
  <c r="D25" i="42"/>
  <c r="D250" i="39"/>
  <c r="D69" i="42"/>
  <c r="D661" i="39"/>
  <c r="F651"/>
  <c r="F1068"/>
  <c r="F1024"/>
  <c r="F607"/>
  <c r="G658"/>
  <c r="G659"/>
  <c r="F118" i="40"/>
  <c r="F448" i="39"/>
  <c r="M1155" i="36"/>
  <c r="M1159" s="1"/>
  <c r="F15" i="39"/>
  <c r="F945" s="1"/>
  <c r="F74" i="42"/>
  <c r="F608" i="39"/>
  <c r="F77" i="40"/>
  <c r="F659" i="39"/>
  <c r="F14" i="40"/>
  <c r="D79"/>
  <c r="F158" i="39"/>
  <c r="M236" i="36"/>
  <c r="D149" i="40" s="1"/>
  <c r="F25" i="42"/>
  <c r="M195" i="36"/>
  <c r="D118" i="40" s="1"/>
  <c r="D116"/>
  <c r="M655" i="36"/>
  <c r="F800" i="39"/>
  <c r="F1006" s="1"/>
  <c r="F17"/>
  <c r="F947" s="1"/>
  <c r="M62" i="36"/>
  <c r="D13" i="39"/>
  <c r="D943" s="1"/>
  <c r="M742" i="36"/>
  <c r="D502" i="39"/>
  <c r="D80" i="40"/>
  <c r="F11" i="39"/>
  <c r="F941" s="1"/>
  <c r="F48" i="40"/>
  <c r="F502" i="39"/>
  <c r="F79" i="40"/>
  <c r="F115"/>
  <c r="F147"/>
  <c r="F658" i="39"/>
  <c r="F80" i="40"/>
  <c r="F163" i="39"/>
  <c r="D14" i="40"/>
  <c r="M553" i="36"/>
  <c r="M353"/>
  <c r="M369"/>
  <c r="F51" i="40"/>
  <c r="M440" i="36"/>
  <c r="M920"/>
  <c r="F82" i="40"/>
  <c r="F1025" i="39"/>
  <c r="M870" i="36"/>
  <c r="M166"/>
  <c r="D82" i="40" s="1"/>
  <c r="F26" i="39" l="1"/>
  <c r="F957" s="1"/>
  <c r="D28"/>
  <c r="D959" s="1"/>
  <c r="D27"/>
  <c r="D958" s="1"/>
  <c r="F27"/>
  <c r="F958" s="1"/>
  <c r="D952"/>
  <c r="F1075"/>
  <c r="F28"/>
  <c r="F959" s="1"/>
  <c r="F25"/>
  <c r="F956" s="1"/>
  <c r="P1114" i="36"/>
  <c r="P317"/>
  <c r="P1124"/>
  <c r="P1122"/>
  <c r="P1123"/>
  <c r="P1165"/>
  <c r="F79" i="39"/>
  <c r="D508"/>
  <c r="F508"/>
  <c r="D951"/>
  <c r="F1013"/>
  <c r="F1028" s="1"/>
  <c r="F123"/>
  <c r="D17" i="40"/>
  <c r="F165" i="39"/>
  <c r="F768"/>
  <c r="D669"/>
  <c r="D670" s="1"/>
  <c r="D725"/>
  <c r="D726" s="1"/>
  <c r="M1169" i="36"/>
  <c r="M988"/>
  <c r="F563" i="39"/>
  <c r="D408"/>
  <c r="D409" s="1"/>
  <c r="F404"/>
  <c r="D264"/>
  <c r="D213"/>
  <c r="D217"/>
  <c r="D218" s="1"/>
  <c r="F213"/>
  <c r="D174"/>
  <c r="D175" s="1"/>
  <c r="F17" i="40"/>
  <c r="M1161" i="36"/>
  <c r="F1014" i="39"/>
  <c r="F863"/>
  <c r="D611"/>
  <c r="D612" s="1"/>
  <c r="D1081"/>
  <c r="D1082" s="1"/>
  <c r="F910"/>
  <c r="D665"/>
  <c r="F1070"/>
  <c r="F1026"/>
  <c r="F33" i="42"/>
  <c r="F707" i="39"/>
  <c r="F803"/>
  <c r="F72" i="42"/>
  <c r="F717" i="39"/>
  <c r="D9" i="42"/>
  <c r="D37" s="1"/>
  <c r="D21" i="39"/>
  <c r="F67" i="42"/>
  <c r="F453" i="39"/>
  <c r="F30" i="42"/>
  <c r="F652" i="39"/>
  <c r="F653" s="1"/>
  <c r="F13" i="42"/>
  <c r="F601" i="39"/>
  <c r="M1100" i="36"/>
  <c r="D404" i="39"/>
  <c r="M657" i="36"/>
  <c r="D453" i="39"/>
  <c r="M1096" i="36"/>
  <c r="D170" i="39"/>
  <c r="F51" i="42"/>
  <c r="F166" i="39"/>
  <c r="F69" i="42"/>
  <c r="F661" i="39"/>
  <c r="F1076"/>
  <c r="F12" i="42"/>
  <c r="F610" i="39"/>
  <c r="F149" i="40"/>
  <c r="F183"/>
  <c r="M1098" i="36"/>
  <c r="M1097"/>
  <c r="F35" i="42"/>
  <c r="M872" i="36"/>
  <c r="D52" i="42"/>
  <c r="M744" i="36"/>
  <c r="D68" i="42"/>
  <c r="M297" i="36"/>
  <c r="D56" i="42"/>
  <c r="D67"/>
  <c r="F68"/>
  <c r="M314" i="36"/>
  <c r="D57" i="42"/>
  <c r="M1136" i="36"/>
  <c r="F185" i="40"/>
  <c r="M1115" i="36"/>
  <c r="M1168"/>
  <c r="M273"/>
  <c r="M276" s="1"/>
  <c r="M1145"/>
  <c r="M923"/>
  <c r="E53" i="42"/>
  <c r="G53"/>
  <c r="H53"/>
  <c r="I53"/>
  <c r="J53"/>
  <c r="K53"/>
  <c r="T1258" i="36"/>
  <c r="T1257"/>
  <c r="T1256"/>
  <c r="T1255"/>
  <c r="T1226"/>
  <c r="T1225"/>
  <c r="T1175"/>
  <c r="T1084"/>
  <c r="T1073"/>
  <c r="T1041"/>
  <c r="K74" i="42"/>
  <c r="K73"/>
  <c r="T996" i="36"/>
  <c r="T980"/>
  <c r="T941"/>
  <c r="T918"/>
  <c r="T892"/>
  <c r="T865"/>
  <c r="T828"/>
  <c r="T826"/>
  <c r="T825"/>
  <c r="T799"/>
  <c r="T767"/>
  <c r="T713"/>
  <c r="T711"/>
  <c r="T620"/>
  <c r="T616"/>
  <c r="T597"/>
  <c r="K64" i="42"/>
  <c r="K25"/>
  <c r="K57"/>
  <c r="K56"/>
  <c r="K146" i="40"/>
  <c r="T148" i="36"/>
  <c r="T146"/>
  <c r="K49" i="40"/>
  <c r="K598" i="39" l="1"/>
  <c r="K1066" s="1"/>
  <c r="K714"/>
  <c r="K1021" s="1"/>
  <c r="D1033"/>
  <c r="D1035" s="1"/>
  <c r="F30"/>
  <c r="F964" s="1"/>
  <c r="D966"/>
  <c r="K447"/>
  <c r="D953"/>
  <c r="M1139" i="36"/>
  <c r="D1085" i="39"/>
  <c r="D1086" s="1"/>
  <c r="P1119" i="36"/>
  <c r="Q1123"/>
  <c r="Q1124"/>
  <c r="Q317"/>
  <c r="Q1114"/>
  <c r="P1169"/>
  <c r="P1164"/>
  <c r="P988"/>
  <c r="P1113"/>
  <c r="P300"/>
  <c r="Q1165"/>
  <c r="Q1122"/>
  <c r="P1166"/>
  <c r="K705" i="39"/>
  <c r="K1012" s="1"/>
  <c r="F441"/>
  <c r="F951"/>
  <c r="F1015"/>
  <c r="D83"/>
  <c r="D84" s="1"/>
  <c r="M1114" i="36"/>
  <c r="F127" i="39"/>
  <c r="K178" i="40"/>
  <c r="T1220" i="36"/>
  <c r="T1231" s="1"/>
  <c r="F167" i="39"/>
  <c r="F814"/>
  <c r="M1170" i="36"/>
  <c r="D615" i="39"/>
  <c r="D512"/>
  <c r="D516"/>
  <c r="D517" s="1"/>
  <c r="D457"/>
  <c r="F512"/>
  <c r="D272"/>
  <c r="M300" i="36"/>
  <c r="D127" i="39"/>
  <c r="D128" s="1"/>
  <c r="F867"/>
  <c r="F772"/>
  <c r="F408"/>
  <c r="F914"/>
  <c r="D185" i="40"/>
  <c r="K55" i="42"/>
  <c r="K906" i="39"/>
  <c r="K907" s="1"/>
  <c r="F665"/>
  <c r="K16" i="42"/>
  <c r="K898" i="39"/>
  <c r="K899" s="1"/>
  <c r="F611"/>
  <c r="F612" s="1"/>
  <c r="F1081"/>
  <c r="K54" i="42"/>
  <c r="K859" i="39"/>
  <c r="K860" s="1"/>
  <c r="K15" i="42"/>
  <c r="K850" i="39"/>
  <c r="K851" s="1"/>
  <c r="F721"/>
  <c r="F1029"/>
  <c r="F1030" s="1"/>
  <c r="K34" i="42"/>
  <c r="K758" i="39"/>
  <c r="K759" s="1"/>
  <c r="K30" i="42"/>
  <c r="K652" i="39"/>
  <c r="K653" s="1"/>
  <c r="F170"/>
  <c r="K59" i="42"/>
  <c r="K400" i="39"/>
  <c r="K401" s="1"/>
  <c r="M1095" i="36"/>
  <c r="D123" i="39"/>
  <c r="K14" i="42"/>
  <c r="K552" i="39"/>
  <c r="K553" s="1"/>
  <c r="F9" i="42"/>
  <c r="F21" i="39"/>
  <c r="M1094" i="36"/>
  <c r="D79" i="39"/>
  <c r="K12" i="42"/>
  <c r="K158" i="39"/>
  <c r="K159" s="1"/>
  <c r="K69" i="42"/>
  <c r="K661" i="39"/>
  <c r="K662" s="1"/>
  <c r="F264"/>
  <c r="F1080"/>
  <c r="D965"/>
  <c r="F1032"/>
  <c r="F1034" s="1"/>
  <c r="T440" i="36"/>
  <c r="M1135"/>
  <c r="M1102"/>
  <c r="M1101"/>
  <c r="F52" i="42"/>
  <c r="M783" i="36"/>
  <c r="D53" i="42"/>
  <c r="F28"/>
  <c r="G505" i="39"/>
  <c r="G963" s="1"/>
  <c r="J505"/>
  <c r="J963" s="1"/>
  <c r="I505"/>
  <c r="I963" s="1"/>
  <c r="H505"/>
  <c r="H963" s="1"/>
  <c r="M1119" i="36"/>
  <c r="M1113"/>
  <c r="K387" i="39"/>
  <c r="K391" s="1"/>
  <c r="T271" i="36"/>
  <c r="K599" i="39"/>
  <c r="K1067" s="1"/>
  <c r="T272" i="36"/>
  <c r="T1019"/>
  <c r="K800" i="39"/>
  <c r="K1006" s="1"/>
  <c r="K79" i="40"/>
  <c r="K48"/>
  <c r="M1116" i="36"/>
  <c r="M747"/>
  <c r="T1010"/>
  <c r="M317"/>
  <c r="T1061"/>
  <c r="T1254"/>
  <c r="T532"/>
  <c r="T1230"/>
  <c r="T1086"/>
  <c r="T783"/>
  <c r="T369"/>
  <c r="T920"/>
  <c r="T1227"/>
  <c r="T1012" l="1"/>
  <c r="K264" i="39"/>
  <c r="K265" s="1"/>
  <c r="T1088" i="36"/>
  <c r="T1063"/>
  <c r="K803" i="39"/>
  <c r="T785" i="36"/>
  <c r="K392" i="39"/>
  <c r="K393" s="1"/>
  <c r="R1124" i="36"/>
  <c r="S1124"/>
  <c r="Q1119"/>
  <c r="R1122"/>
  <c r="S1122"/>
  <c r="Q1164"/>
  <c r="Q1169"/>
  <c r="Q988"/>
  <c r="Q1166"/>
  <c r="R1165"/>
  <c r="S1165"/>
  <c r="Q300"/>
  <c r="Q1113"/>
  <c r="P1168"/>
  <c r="R1114"/>
  <c r="R317"/>
  <c r="Q446"/>
  <c r="P1115"/>
  <c r="R1123"/>
  <c r="S1123"/>
  <c r="F965" i="39"/>
  <c r="F969" s="1"/>
  <c r="F953"/>
  <c r="D276"/>
  <c r="D277" s="1"/>
  <c r="D32"/>
  <c r="D619"/>
  <c r="D620" s="1"/>
  <c r="M1148" i="36"/>
  <c r="D567" i="39"/>
  <c r="D568" s="1"/>
  <c r="M875" i="36"/>
  <c r="M1144"/>
  <c r="D461" i="39"/>
  <c r="D462" s="1"/>
  <c r="M1121" i="36"/>
  <c r="M1117"/>
  <c r="D273" i="39"/>
  <c r="F83"/>
  <c r="F818"/>
  <c r="F669"/>
  <c r="F217"/>
  <c r="F174"/>
  <c r="D967"/>
  <c r="T1104" i="36"/>
  <c r="K863" i="39"/>
  <c r="K864" s="1"/>
  <c r="T1105" i="36"/>
  <c r="K910" i="39"/>
  <c r="K911" s="1"/>
  <c r="F1084"/>
  <c r="F1082"/>
  <c r="D977"/>
  <c r="T1156" i="36"/>
  <c r="K768" i="39"/>
  <c r="K769" s="1"/>
  <c r="F725"/>
  <c r="F37" i="42"/>
  <c r="F457" i="39"/>
  <c r="T1103" i="36"/>
  <c r="K563" i="39"/>
  <c r="K564" s="1"/>
  <c r="M1103" i="36"/>
  <c r="D563" i="39"/>
  <c r="F615"/>
  <c r="T1097" i="36"/>
  <c r="K213" i="39"/>
  <c r="K214" s="1"/>
  <c r="F32"/>
  <c r="T1136" i="36"/>
  <c r="K665" i="39"/>
  <c r="K666" s="1"/>
  <c r="F271"/>
  <c r="F272"/>
  <c r="K403"/>
  <c r="D969"/>
  <c r="F1036"/>
  <c r="K802"/>
  <c r="I67" i="43"/>
  <c r="F48" i="42"/>
  <c r="F76" s="1"/>
  <c r="K183" i="40"/>
  <c r="M1120" i="36"/>
  <c r="M660"/>
  <c r="T1030"/>
  <c r="K35" i="42"/>
  <c r="T553" i="36"/>
  <c r="K20" i="42"/>
  <c r="M278" i="36"/>
  <c r="D48" i="42"/>
  <c r="D76" s="1"/>
  <c r="M1138" i="36"/>
  <c r="M1140" s="1"/>
  <c r="M1122"/>
  <c r="T1098"/>
  <c r="E64" i="42"/>
  <c r="D970" i="39" l="1"/>
  <c r="D971" s="1"/>
  <c r="P1170" i="36"/>
  <c r="K30" i="39"/>
  <c r="K964" s="1"/>
  <c r="T1032" i="36"/>
  <c r="T555"/>
  <c r="H974" i="39"/>
  <c r="M1108" i="36"/>
  <c r="P875"/>
  <c r="P1144"/>
  <c r="P1148"/>
  <c r="Q1115"/>
  <c r="R1164"/>
  <c r="R1169"/>
  <c r="R988"/>
  <c r="R446"/>
  <c r="R300"/>
  <c r="R1113"/>
  <c r="Q1168"/>
  <c r="P1121"/>
  <c r="P747"/>
  <c r="P1120"/>
  <c r="S1114"/>
  <c r="S317"/>
  <c r="R1166"/>
  <c r="S1166"/>
  <c r="R1119"/>
  <c r="S1119"/>
  <c r="F1033" i="39"/>
  <c r="F1035" s="1"/>
  <c r="M1147" i="36"/>
  <c r="F971" i="39"/>
  <c r="F967"/>
  <c r="F276"/>
  <c r="F567"/>
  <c r="G217"/>
  <c r="F461"/>
  <c r="F36"/>
  <c r="F619"/>
  <c r="F1088"/>
  <c r="F1090" s="1"/>
  <c r="F1086"/>
  <c r="F973"/>
  <c r="T1157" i="36"/>
  <c r="K814" i="39"/>
  <c r="K813"/>
  <c r="K804"/>
  <c r="D36"/>
  <c r="F516"/>
  <c r="I64" i="42"/>
  <c r="I260" i="39"/>
  <c r="I261" s="1"/>
  <c r="H64" i="42"/>
  <c r="H260" i="39"/>
  <c r="H261" s="1"/>
  <c r="T1100" i="36"/>
  <c r="K404" i="39"/>
  <c r="K405" s="1"/>
  <c r="G64" i="42"/>
  <c r="G260" i="39"/>
  <c r="G261" s="1"/>
  <c r="F273"/>
  <c r="G63" i="43"/>
  <c r="M1093" i="36"/>
  <c r="M1107" s="1"/>
  <c r="L25" i="43"/>
  <c r="Q1170" i="36" l="1"/>
  <c r="D1089" i="39"/>
  <c r="D1091" s="1"/>
  <c r="I974"/>
  <c r="P1112" i="36"/>
  <c r="P1127"/>
  <c r="P281"/>
  <c r="Q747"/>
  <c r="Q1121"/>
  <c r="R1168"/>
  <c r="Q660"/>
  <c r="Q1120"/>
  <c r="S446"/>
  <c r="S1113"/>
  <c r="S300"/>
  <c r="Q1144"/>
  <c r="Q1148"/>
  <c r="Q875"/>
  <c r="R1115"/>
  <c r="S1115"/>
  <c r="P1117"/>
  <c r="S988"/>
  <c r="S1169"/>
  <c r="S1164"/>
  <c r="P1147"/>
  <c r="M1149"/>
  <c r="F1089" i="39"/>
  <c r="F1091" s="1"/>
  <c r="D976"/>
  <c r="D40"/>
  <c r="D41" s="1"/>
  <c r="M281" i="36"/>
  <c r="M1112"/>
  <c r="F1092" i="39"/>
  <c r="F977"/>
  <c r="K815"/>
  <c r="J64" i="42"/>
  <c r="J260" i="39"/>
  <c r="J261" s="1"/>
  <c r="M1109" i="36"/>
  <c r="K607" i="39"/>
  <c r="K1075" s="1"/>
  <c r="P1149" i="36" l="1"/>
  <c r="R1170"/>
  <c r="J974" i="39"/>
  <c r="Q1112" i="36"/>
  <c r="Q1127"/>
  <c r="P1126"/>
  <c r="Q281"/>
  <c r="R875"/>
  <c r="R1144"/>
  <c r="R1148"/>
  <c r="Q1147"/>
  <c r="R1120"/>
  <c r="R660"/>
  <c r="Q1117"/>
  <c r="T446"/>
  <c r="R1121"/>
  <c r="R747"/>
  <c r="S1168"/>
  <c r="M1126"/>
  <c r="F976" i="39"/>
  <c r="F40"/>
  <c r="K608"/>
  <c r="K1076" s="1"/>
  <c r="Q1149" i="36" l="1"/>
  <c r="S1170"/>
  <c r="P1128"/>
  <c r="R1112"/>
  <c r="R1127"/>
  <c r="Q1126"/>
  <c r="R281"/>
  <c r="S1112"/>
  <c r="S281"/>
  <c r="R1117"/>
  <c r="S1127"/>
  <c r="R1147"/>
  <c r="S875"/>
  <c r="S1144"/>
  <c r="S1148"/>
  <c r="S1121"/>
  <c r="S747"/>
  <c r="S660"/>
  <c r="S1120"/>
  <c r="M1128"/>
  <c r="D975" i="39"/>
  <c r="D53" i="45"/>
  <c r="E74" i="42"/>
  <c r="G74"/>
  <c r="H74"/>
  <c r="I74"/>
  <c r="J74"/>
  <c r="E505" i="39"/>
  <c r="E963" s="1"/>
  <c r="R1149" i="36" l="1"/>
  <c r="Q1128"/>
  <c r="R1126"/>
  <c r="S1117"/>
  <c r="S1147"/>
  <c r="F975" i="39"/>
  <c r="F53" i="45"/>
  <c r="G550" i="39"/>
  <c r="G950" s="1"/>
  <c r="H607"/>
  <c r="H1075" s="1"/>
  <c r="I607"/>
  <c r="I1075" s="1"/>
  <c r="J607"/>
  <c r="J1075" s="1"/>
  <c r="G607"/>
  <c r="G1075" s="1"/>
  <c r="S1149" i="36" l="1"/>
  <c r="R1128"/>
  <c r="S1126"/>
  <c r="G14" i="42"/>
  <c r="G552" i="39"/>
  <c r="G551"/>
  <c r="L15" i="43"/>
  <c r="G800" i="39"/>
  <c r="G1006" s="1"/>
  <c r="H800"/>
  <c r="H1006" s="1"/>
  <c r="I800"/>
  <c r="I1006" s="1"/>
  <c r="J800"/>
  <c r="J1006" s="1"/>
  <c r="E800"/>
  <c r="E1006" s="1"/>
  <c r="S1128" i="36" l="1"/>
  <c r="O15" i="43"/>
  <c r="G553" i="39"/>
  <c r="E34" i="43"/>
  <c r="E1013" i="39"/>
  <c r="K502" l="1"/>
  <c r="K448"/>
  <c r="C207"/>
  <c r="C489"/>
  <c r="C434"/>
  <c r="C202"/>
  <c r="H30" i="42" l="1"/>
  <c r="H652" i="39"/>
  <c r="H653" s="1"/>
  <c r="E25" i="42"/>
  <c r="E250" i="39"/>
  <c r="N23" i="42"/>
  <c r="O23" s="1"/>
  <c r="C204" i="39"/>
  <c r="C45" i="45"/>
  <c r="C44"/>
  <c r="C43"/>
  <c r="C38"/>
  <c r="C37"/>
  <c r="C36"/>
  <c r="C31"/>
  <c r="C29"/>
  <c r="C24"/>
  <c r="C20"/>
  <c r="C19"/>
  <c r="C18"/>
  <c r="C17"/>
  <c r="C16"/>
  <c r="C15"/>
  <c r="C14"/>
  <c r="C9"/>
  <c r="C48" l="1"/>
  <c r="C182" i="40" l="1"/>
  <c r="C181"/>
  <c r="C178"/>
  <c r="C145"/>
  <c r="C116"/>
  <c r="C114"/>
  <c r="C78"/>
  <c r="C47"/>
  <c r="C46"/>
  <c r="C13"/>
  <c r="C12"/>
  <c r="C29" i="39" l="1"/>
  <c r="C961" s="1"/>
  <c r="K14" i="40"/>
  <c r="C897" i="39"/>
  <c r="C847"/>
  <c r="C849" s="1"/>
  <c r="K55" i="43" l="1"/>
  <c r="M16"/>
  <c r="D899" i="39"/>
  <c r="K54" i="43"/>
  <c r="M17"/>
  <c r="F899" i="39"/>
  <c r="C801"/>
  <c r="C800"/>
  <c r="C1006" s="1"/>
  <c r="E763"/>
  <c r="E765" s="1"/>
  <c r="K71" i="43"/>
  <c r="C756" i="39"/>
  <c r="C1012" s="1"/>
  <c r="C755"/>
  <c r="C754"/>
  <c r="C1004" s="1"/>
  <c r="G757"/>
  <c r="H757"/>
  <c r="C712"/>
  <c r="C1019" s="1"/>
  <c r="C704"/>
  <c r="C1011" s="1"/>
  <c r="C703"/>
  <c r="C1010" s="1"/>
  <c r="C702"/>
  <c r="C700"/>
  <c r="C1007" s="1"/>
  <c r="C656"/>
  <c r="C649"/>
  <c r="C648"/>
  <c r="C1063" s="1"/>
  <c r="C606"/>
  <c r="C605"/>
  <c r="C597"/>
  <c r="C1065" s="1"/>
  <c r="C596"/>
  <c r="C1064" s="1"/>
  <c r="C558"/>
  <c r="K36" i="43"/>
  <c r="C500" i="39"/>
  <c r="C490"/>
  <c r="C450"/>
  <c r="C962" s="1"/>
  <c r="C437"/>
  <c r="C435"/>
  <c r="C433"/>
  <c r="C389"/>
  <c r="C387"/>
  <c r="C246"/>
  <c r="M25" i="43"/>
  <c r="C208" i="39"/>
  <c r="C210" s="1"/>
  <c r="D208"/>
  <c r="H208"/>
  <c r="H210" s="1"/>
  <c r="I208"/>
  <c r="I210" s="1"/>
  <c r="C165"/>
  <c r="C167" s="1"/>
  <c r="C154"/>
  <c r="C157" s="1"/>
  <c r="K57" i="43"/>
  <c r="P57" s="1"/>
  <c r="C111" i="39"/>
  <c r="C110"/>
  <c r="K56" i="43"/>
  <c r="P56" s="1"/>
  <c r="C67" i="39"/>
  <c r="C66"/>
  <c r="D68"/>
  <c r="D70" s="1"/>
  <c r="C17"/>
  <c r="C16"/>
  <c r="C15"/>
  <c r="C14"/>
  <c r="C944" s="1"/>
  <c r="C13"/>
  <c r="C943" s="1"/>
  <c r="C12"/>
  <c r="F907"/>
  <c r="C945" l="1"/>
  <c r="E909"/>
  <c r="C1074"/>
  <c r="C1073"/>
  <c r="N53" i="42"/>
  <c r="C560" i="39"/>
  <c r="D212"/>
  <c r="D214" s="1"/>
  <c r="D210"/>
  <c r="F31" i="44"/>
  <c r="O33" i="43"/>
  <c r="H15" i="44"/>
  <c r="O55" i="43"/>
  <c r="P55" s="1"/>
  <c r="F15" i="44"/>
  <c r="O17" i="43"/>
  <c r="P17" s="1"/>
  <c r="N16" i="42"/>
  <c r="C809" i="39"/>
  <c r="C1009"/>
  <c r="C651"/>
  <c r="C653" s="1"/>
  <c r="C610"/>
  <c r="K53" i="43"/>
  <c r="P53" s="1"/>
  <c r="K72"/>
  <c r="P72" s="1"/>
  <c r="K62"/>
  <c r="P62" s="1"/>
  <c r="C112" i="39"/>
  <c r="C68"/>
  <c r="H909"/>
  <c r="D757"/>
  <c r="D759" s="1"/>
  <c r="F208"/>
  <c r="F210" s="1"/>
  <c r="E208"/>
  <c r="E210" s="1"/>
  <c r="E757"/>
  <c r="I909"/>
  <c r="C802"/>
  <c r="G208"/>
  <c r="G210" s="1"/>
  <c r="E802"/>
  <c r="M34" i="43"/>
  <c r="D112" i="39"/>
  <c r="D114" s="1"/>
  <c r="J208"/>
  <c r="J210" s="1"/>
  <c r="D249"/>
  <c r="D251" s="1"/>
  <c r="F36" i="43"/>
  <c r="C757" i="39"/>
  <c r="K59" i="43"/>
  <c r="H23" i="44"/>
  <c r="M21" i="43"/>
  <c r="I74"/>
  <c r="F112" i="39"/>
  <c r="F114" s="1"/>
  <c r="F68"/>
  <c r="F70" s="1"/>
  <c r="E112"/>
  <c r="D391"/>
  <c r="D393" s="1"/>
  <c r="D562"/>
  <c r="D564" s="1"/>
  <c r="J757"/>
  <c r="I757"/>
  <c r="D440"/>
  <c r="D442" s="1"/>
  <c r="F757"/>
  <c r="F759" s="1"/>
  <c r="M33" i="43"/>
  <c r="M15"/>
  <c r="P15" s="1"/>
  <c r="E68" i="39"/>
  <c r="K63" i="43"/>
  <c r="P63" s="1"/>
  <c r="H36"/>
  <c r="F909" i="39"/>
  <c r="F911" s="1"/>
  <c r="J909"/>
  <c r="C909"/>
  <c r="G909"/>
  <c r="E18" i="45" l="1"/>
  <c r="E813" i="39"/>
  <c r="N74" i="42"/>
  <c r="C811" i="39"/>
  <c r="E767"/>
  <c r="N62" i="42"/>
  <c r="J15" i="44"/>
  <c r="H19"/>
  <c r="O59" i="43"/>
  <c r="P59" s="1"/>
  <c r="N34" i="42"/>
  <c r="F11" i="44"/>
  <c r="O13" i="43"/>
  <c r="P33"/>
  <c r="C813" i="39"/>
  <c r="C1013"/>
  <c r="F913"/>
  <c r="F915" s="1"/>
  <c r="G74" i="43"/>
  <c r="J860" i="39"/>
  <c r="G860"/>
  <c r="F860"/>
  <c r="D860"/>
  <c r="F851"/>
  <c r="D851"/>
  <c r="H14" i="44" l="1"/>
  <c r="O54" i="43"/>
  <c r="P54" s="1"/>
  <c r="N15" i="42"/>
  <c r="F14" i="44"/>
  <c r="O16" i="43"/>
  <c r="P16" s="1"/>
  <c r="D15" i="44"/>
  <c r="L15" s="1"/>
  <c r="G913" i="39"/>
  <c r="F18" i="45"/>
  <c r="D862" i="39"/>
  <c r="D864" s="1"/>
  <c r="F862"/>
  <c r="H862"/>
  <c r="J862"/>
  <c r="E862"/>
  <c r="G862"/>
  <c r="I862"/>
  <c r="E17" i="45" l="1"/>
  <c r="F866" i="39"/>
  <c r="D14" i="44" s="1"/>
  <c r="F864" i="39"/>
  <c r="J14" i="44"/>
  <c r="H913" i="39"/>
  <c r="G18" i="45"/>
  <c r="G866" i="39" l="1"/>
  <c r="G17" i="45" s="1"/>
  <c r="F868" i="39"/>
  <c r="F17" i="45"/>
  <c r="L14" i="44"/>
  <c r="I913" i="39"/>
  <c r="H18" i="45"/>
  <c r="H32" i="44"/>
  <c r="E45" i="45"/>
  <c r="J802" i="39"/>
  <c r="I802"/>
  <c r="H802"/>
  <c r="G802"/>
  <c r="F802"/>
  <c r="D802"/>
  <c r="D804" s="1"/>
  <c r="H866" l="1"/>
  <c r="H17" i="45" s="1"/>
  <c r="J813" i="39"/>
  <c r="F813"/>
  <c r="F815" s="1"/>
  <c r="F804"/>
  <c r="I813"/>
  <c r="H813"/>
  <c r="O34" i="43"/>
  <c r="P34" s="1"/>
  <c r="D813" i="39"/>
  <c r="D815" s="1"/>
  <c r="N35" i="42"/>
  <c r="F32" i="44"/>
  <c r="J32" s="1"/>
  <c r="G813" i="39"/>
  <c r="J913"/>
  <c r="I18" i="45"/>
  <c r="D45"/>
  <c r="I866" i="39" l="1"/>
  <c r="I17" i="45" s="1"/>
  <c r="F817" i="39"/>
  <c r="F819" s="1"/>
  <c r="K913"/>
  <c r="J18" i="45"/>
  <c r="J763" i="39"/>
  <c r="J765" s="1"/>
  <c r="I763"/>
  <c r="I765" s="1"/>
  <c r="H763"/>
  <c r="H765" s="1"/>
  <c r="G763"/>
  <c r="G765" s="1"/>
  <c r="F763"/>
  <c r="F765" s="1"/>
  <c r="D763"/>
  <c r="D765" s="1"/>
  <c r="C763"/>
  <c r="C765" s="1"/>
  <c r="C706"/>
  <c r="K18" i="45" l="1"/>
  <c r="J866" i="39"/>
  <c r="J17" i="45" s="1"/>
  <c r="G817" i="39"/>
  <c r="H31" i="44"/>
  <c r="J31" s="1"/>
  <c r="O71" i="43"/>
  <c r="P71" s="1"/>
  <c r="N73" i="42"/>
  <c r="D32" i="44"/>
  <c r="L32" s="1"/>
  <c r="F45" i="45"/>
  <c r="D767" i="39"/>
  <c r="D769" s="1"/>
  <c r="F767"/>
  <c r="H767"/>
  <c r="J767"/>
  <c r="C767"/>
  <c r="E44" i="45"/>
  <c r="G767" i="39"/>
  <c r="I767"/>
  <c r="K866" l="1"/>
  <c r="K17" i="45" s="1"/>
  <c r="F771" i="39"/>
  <c r="F773" s="1"/>
  <c r="F769"/>
  <c r="H817"/>
  <c r="H45" i="45" s="1"/>
  <c r="G45"/>
  <c r="F44" l="1"/>
  <c r="D31" i="44"/>
  <c r="L31" s="1"/>
  <c r="G771" i="39"/>
  <c r="I817"/>
  <c r="I45" i="45" s="1"/>
  <c r="H771" i="39" l="1"/>
  <c r="J817"/>
  <c r="J45" i="45" s="1"/>
  <c r="G44"/>
  <c r="I771" i="39" l="1"/>
  <c r="I44" i="45" s="1"/>
  <c r="K817" i="39"/>
  <c r="H44" i="45"/>
  <c r="J562" i="39"/>
  <c r="F562"/>
  <c r="H562"/>
  <c r="F13" i="44"/>
  <c r="H13"/>
  <c r="J771" i="39" l="1"/>
  <c r="K45" i="45"/>
  <c r="F566" i="39"/>
  <c r="F568" s="1"/>
  <c r="F564"/>
  <c r="J13" i="44"/>
  <c r="I562" i="39"/>
  <c r="E562"/>
  <c r="G562"/>
  <c r="K771" l="1"/>
  <c r="J44" i="45"/>
  <c r="E16"/>
  <c r="G566" i="39"/>
  <c r="D13" i="44"/>
  <c r="L13" s="1"/>
  <c r="F16" i="45"/>
  <c r="E494" i="39"/>
  <c r="K44" i="45" l="1"/>
  <c r="H566" i="39"/>
  <c r="H16" i="45" s="1"/>
  <c r="G16"/>
  <c r="F401" i="39"/>
  <c r="G391"/>
  <c r="I566" l="1"/>
  <c r="I16" i="45" s="1"/>
  <c r="F19" i="44"/>
  <c r="O21" i="43"/>
  <c r="P21" s="1"/>
  <c r="F391" i="39"/>
  <c r="F393" s="1"/>
  <c r="H391"/>
  <c r="C391"/>
  <c r="G403"/>
  <c r="J566" l="1"/>
  <c r="J16" i="45" s="1"/>
  <c r="H403" i="39"/>
  <c r="F403"/>
  <c r="J19" i="44"/>
  <c r="E249" i="39"/>
  <c r="C249"/>
  <c r="K566" l="1"/>
  <c r="F407"/>
  <c r="F409" s="1"/>
  <c r="F405"/>
  <c r="E263"/>
  <c r="E251"/>
  <c r="E31" i="45"/>
  <c r="C263" i="39"/>
  <c r="K16" i="45" l="1"/>
  <c r="G407" i="39"/>
  <c r="D19" i="44"/>
  <c r="C212" i="39"/>
  <c r="C214" s="1"/>
  <c r="H407" l="1"/>
  <c r="I212"/>
  <c r="E212"/>
  <c r="G212"/>
  <c r="G214" s="1"/>
  <c r="F212"/>
  <c r="H212"/>
  <c r="J212"/>
  <c r="F216" l="1"/>
  <c r="F218" s="1"/>
  <c r="F214"/>
  <c r="E29" i="45"/>
  <c r="G216" i="39" l="1"/>
  <c r="H216" s="1"/>
  <c r="F29" i="45"/>
  <c r="E169" i="39"/>
  <c r="G29" i="45" l="1"/>
  <c r="G218" i="39"/>
  <c r="I216"/>
  <c r="E14" i="45"/>
  <c r="D169" i="39"/>
  <c r="D171" s="1"/>
  <c r="D159"/>
  <c r="H29" i="45"/>
  <c r="J216" i="39" l="1"/>
  <c r="I29" i="45"/>
  <c r="J118" i="39"/>
  <c r="J120" s="1"/>
  <c r="I118"/>
  <c r="I120" s="1"/>
  <c r="H118"/>
  <c r="H120" s="1"/>
  <c r="G118"/>
  <c r="F118"/>
  <c r="F120" s="1"/>
  <c r="E118"/>
  <c r="D118"/>
  <c r="C118"/>
  <c r="D120" l="1"/>
  <c r="D129"/>
  <c r="C120"/>
  <c r="C129"/>
  <c r="E120"/>
  <c r="E129"/>
  <c r="K216"/>
  <c r="H17" i="44"/>
  <c r="G120" i="39"/>
  <c r="N57" i="42"/>
  <c r="D122" i="39"/>
  <c r="D124" s="1"/>
  <c r="F122"/>
  <c r="F126" s="1"/>
  <c r="J29" i="45"/>
  <c r="C122" i="39"/>
  <c r="E122"/>
  <c r="E20" i="45" l="1"/>
  <c r="F124" i="39"/>
  <c r="K29" i="45"/>
  <c r="J74" i="39"/>
  <c r="J76" s="1"/>
  <c r="I74"/>
  <c r="I76" s="1"/>
  <c r="H74"/>
  <c r="H76" s="1"/>
  <c r="G74"/>
  <c r="F74"/>
  <c r="F76" s="1"/>
  <c r="E74"/>
  <c r="D74"/>
  <c r="C74"/>
  <c r="F20" i="45" l="1"/>
  <c r="F129" i="39"/>
  <c r="D76"/>
  <c r="D85"/>
  <c r="C76"/>
  <c r="C85"/>
  <c r="E76"/>
  <c r="E85"/>
  <c r="H16" i="44"/>
  <c r="G76" i="39"/>
  <c r="D17" i="44"/>
  <c r="F128" i="39"/>
  <c r="N56" i="42"/>
  <c r="D78" i="39"/>
  <c r="D80" s="1"/>
  <c r="F78"/>
  <c r="C78"/>
  <c r="E78"/>
  <c r="E19" i="45" l="1"/>
  <c r="F82" i="39"/>
  <c r="F80"/>
  <c r="F19" i="45" l="1"/>
  <c r="F85" i="39"/>
  <c r="D16" i="44"/>
  <c r="F84" i="39"/>
  <c r="M13" i="43"/>
  <c r="P13" s="1"/>
  <c r="N12" i="42" l="1"/>
  <c r="F159" i="39"/>
  <c r="E17" l="1"/>
  <c r="E947" s="1"/>
  <c r="G703"/>
  <c r="G597"/>
  <c r="I14" i="43" l="1"/>
  <c r="G1065" i="39"/>
  <c r="I32" i="43"/>
  <c r="G1010" i="39"/>
  <c r="G114" i="40"/>
  <c r="G13"/>
  <c r="G47"/>
  <c r="G437" i="39"/>
  <c r="I28" i="43" s="1"/>
  <c r="G145" i="40"/>
  <c r="G606" i="39"/>
  <c r="G1074" s="1"/>
  <c r="G712"/>
  <c r="H597"/>
  <c r="H1065" s="1"/>
  <c r="H114" i="40"/>
  <c r="H47"/>
  <c r="H606" i="39"/>
  <c r="H1074" s="1"/>
  <c r="H437"/>
  <c r="H703"/>
  <c r="H1010" s="1"/>
  <c r="G116" i="40"/>
  <c r="K80"/>
  <c r="K115"/>
  <c r="C62" i="42"/>
  <c r="M62" s="1"/>
  <c r="O62" s="1"/>
  <c r="J599" i="39"/>
  <c r="J1067" s="1"/>
  <c r="I599"/>
  <c r="I1067" s="1"/>
  <c r="H599"/>
  <c r="H1067" s="1"/>
  <c r="G599"/>
  <c r="E77" i="40"/>
  <c r="K27" i="39" l="1"/>
  <c r="L14" i="43"/>
  <c r="G1067" i="39"/>
  <c r="D70" i="43"/>
  <c r="G1019" i="39"/>
  <c r="D52" i="43"/>
  <c r="H145" i="40"/>
  <c r="H13"/>
  <c r="H712" i="39"/>
  <c r="H1019" s="1"/>
  <c r="E599"/>
  <c r="E1067" s="1"/>
  <c r="G17"/>
  <c r="H116" i="40"/>
  <c r="I597" i="39"/>
  <c r="I1065" s="1"/>
  <c r="I249"/>
  <c r="H249"/>
  <c r="J249"/>
  <c r="I437"/>
  <c r="G249"/>
  <c r="I703"/>
  <c r="I1010" s="1"/>
  <c r="H263" l="1"/>
  <c r="O25" i="43"/>
  <c r="J263" i="39"/>
  <c r="I263"/>
  <c r="I10" i="43"/>
  <c r="T868" i="36"/>
  <c r="I712" i="39"/>
  <c r="I1019" s="1"/>
  <c r="I114" i="40"/>
  <c r="I606" i="39"/>
  <c r="I1074" s="1"/>
  <c r="I47" i="40"/>
  <c r="I145"/>
  <c r="G501" i="39"/>
  <c r="E67" i="43" s="1"/>
  <c r="G263" i="39"/>
  <c r="F23" i="44"/>
  <c r="I13" i="40"/>
  <c r="H17" i="39"/>
  <c r="F249"/>
  <c r="J597"/>
  <c r="J1065" s="1"/>
  <c r="I116" i="40"/>
  <c r="H501" i="39"/>
  <c r="J437"/>
  <c r="E15"/>
  <c r="E945" s="1"/>
  <c r="N25" i="42" l="1"/>
  <c r="F251" i="39"/>
  <c r="J47" i="40"/>
  <c r="J114"/>
  <c r="J145"/>
  <c r="J606" i="39"/>
  <c r="J1074" s="1"/>
  <c r="I17"/>
  <c r="J703"/>
  <c r="J1010" s="1"/>
  <c r="J13" i="40"/>
  <c r="K712" i="39"/>
  <c r="K1019" s="1"/>
  <c r="J712"/>
  <c r="J1019" s="1"/>
  <c r="F263"/>
  <c r="F275" s="1"/>
  <c r="J23" i="44"/>
  <c r="J116" i="40"/>
  <c r="I501" i="39"/>
  <c r="P25" i="43"/>
  <c r="C501" i="39"/>
  <c r="K47" i="40" l="1"/>
  <c r="K50" s="1"/>
  <c r="F265" i="39"/>
  <c r="J17"/>
  <c r="T122" i="36"/>
  <c r="K51" i="40" s="1"/>
  <c r="T803" i="36"/>
  <c r="K597" i="39"/>
  <c r="T830" i="36"/>
  <c r="T870" s="1"/>
  <c r="K606" i="39"/>
  <c r="K13" i="40"/>
  <c r="T1186" i="36"/>
  <c r="T1188" s="1"/>
  <c r="K703" i="39"/>
  <c r="K1010" s="1"/>
  <c r="T576" i="36"/>
  <c r="K437" i="39"/>
  <c r="K440" s="1"/>
  <c r="J501"/>
  <c r="E57" i="42"/>
  <c r="G57"/>
  <c r="H57"/>
  <c r="I57"/>
  <c r="J57"/>
  <c r="E56"/>
  <c r="G56"/>
  <c r="H56"/>
  <c r="I56"/>
  <c r="J56"/>
  <c r="C73"/>
  <c r="E73"/>
  <c r="G73"/>
  <c r="H73"/>
  <c r="I73"/>
  <c r="J73"/>
  <c r="G714" i="39"/>
  <c r="H714"/>
  <c r="H1021" s="1"/>
  <c r="I714"/>
  <c r="I1021" s="1"/>
  <c r="J714"/>
  <c r="J1021" s="1"/>
  <c r="G178" i="40"/>
  <c r="H178"/>
  <c r="I178"/>
  <c r="J178"/>
  <c r="K1069" i="39" l="1"/>
  <c r="C942"/>
  <c r="C551"/>
  <c r="K1081"/>
  <c r="K17" i="40"/>
  <c r="K52"/>
  <c r="H34" i="42"/>
  <c r="H758" i="39"/>
  <c r="H759" s="1"/>
  <c r="I34" i="42"/>
  <c r="I758" i="39"/>
  <c r="I759" s="1"/>
  <c r="C34" i="42"/>
  <c r="C758" i="39"/>
  <c r="C759" s="1"/>
  <c r="J34" i="42"/>
  <c r="J758" i="39"/>
  <c r="J759" s="1"/>
  <c r="E34" i="42"/>
  <c r="E758" i="39"/>
  <c r="E759" s="1"/>
  <c r="G34" i="42"/>
  <c r="G758" i="39"/>
  <c r="G759" s="1"/>
  <c r="C17" i="42"/>
  <c r="C69" i="39"/>
  <c r="C70" s="1"/>
  <c r="E17" i="42"/>
  <c r="E69" i="39"/>
  <c r="E70" s="1"/>
  <c r="K28" i="42"/>
  <c r="K441" i="39"/>
  <c r="K442" s="1"/>
  <c r="K13" i="42"/>
  <c r="K601" i="39"/>
  <c r="E18" i="42"/>
  <c r="E113" i="39"/>
  <c r="E114" s="1"/>
  <c r="C18" i="42"/>
  <c r="C113" i="39"/>
  <c r="C114" s="1"/>
  <c r="K611"/>
  <c r="G275"/>
  <c r="F277"/>
  <c r="F31" i="45"/>
  <c r="M73" i="42"/>
  <c r="O73" s="1"/>
  <c r="K610" i="39"/>
  <c r="K1074"/>
  <c r="K1080" s="1"/>
  <c r="K600"/>
  <c r="K1065"/>
  <c r="K1068" s="1"/>
  <c r="F70" i="43"/>
  <c r="G1021" i="39"/>
  <c r="K52" i="42"/>
  <c r="D23" i="44"/>
  <c r="L23" s="1"/>
  <c r="T872" i="36"/>
  <c r="K16" i="40"/>
  <c r="K17" i="39"/>
  <c r="E178" i="40"/>
  <c r="E714" i="39"/>
  <c r="E1021" s="1"/>
  <c r="E1024" s="1"/>
  <c r="E1026" s="1"/>
  <c r="K116" i="40"/>
  <c r="K501" i="39"/>
  <c r="K958" s="1"/>
  <c r="C57" i="42"/>
  <c r="M57" s="1"/>
  <c r="O57" s="1"/>
  <c r="C56"/>
  <c r="M56" s="1"/>
  <c r="O56" s="1"/>
  <c r="J768" i="39"/>
  <c r="J769" s="1"/>
  <c r="H768"/>
  <c r="H769" s="1"/>
  <c r="C79"/>
  <c r="C80" s="1"/>
  <c r="C123"/>
  <c r="C124" s="1"/>
  <c r="I213"/>
  <c r="I214" s="1"/>
  <c r="I768"/>
  <c r="I769" s="1"/>
  <c r="C768"/>
  <c r="C769" s="1"/>
  <c r="E79"/>
  <c r="E80" s="1"/>
  <c r="E123"/>
  <c r="E124" s="1"/>
  <c r="J213"/>
  <c r="J214" s="1"/>
  <c r="H213"/>
  <c r="H214" s="1"/>
  <c r="E213"/>
  <c r="E214" s="1"/>
  <c r="E768"/>
  <c r="E769" s="1"/>
  <c r="C860"/>
  <c r="G66"/>
  <c r="C18" i="43" s="1"/>
  <c r="M18" s="1"/>
  <c r="G110" i="39"/>
  <c r="C19" i="43" s="1"/>
  <c r="M19" s="1"/>
  <c r="E25" i="39" l="1"/>
  <c r="E956" s="1"/>
  <c r="K1070"/>
  <c r="T874" i="36"/>
  <c r="K1085" i="39"/>
  <c r="T1139" i="36"/>
  <c r="K1082" i="39"/>
  <c r="K18" i="40"/>
  <c r="M34" i="42"/>
  <c r="O34" s="1"/>
  <c r="G772" i="39"/>
  <c r="G773" s="1"/>
  <c r="G768"/>
  <c r="G769" s="1"/>
  <c r="K602"/>
  <c r="K615"/>
  <c r="K612"/>
  <c r="C862"/>
  <c r="N54" i="42"/>
  <c r="C562" i="39"/>
  <c r="N14" i="42"/>
  <c r="K614" i="39"/>
  <c r="K1084"/>
  <c r="E1036"/>
  <c r="E1028"/>
  <c r="T1135" i="36"/>
  <c r="T1138" s="1"/>
  <c r="H275" i="39"/>
  <c r="G31" i="45"/>
  <c r="H78" i="40"/>
  <c r="G68" i="39"/>
  <c r="G112"/>
  <c r="H110"/>
  <c r="H66"/>
  <c r="H698"/>
  <c r="H1004" s="1"/>
  <c r="K1086" l="1"/>
  <c r="H772"/>
  <c r="H773" s="1"/>
  <c r="E59" i="42"/>
  <c r="E400" i="39"/>
  <c r="G18" i="42"/>
  <c r="G113" i="39"/>
  <c r="G114" s="1"/>
  <c r="H217"/>
  <c r="H218" s="1"/>
  <c r="G17" i="42"/>
  <c r="G69" i="39"/>
  <c r="G70" s="1"/>
  <c r="K616"/>
  <c r="O18" i="43"/>
  <c r="P18" s="1"/>
  <c r="O19"/>
  <c r="P19" s="1"/>
  <c r="T1140" i="36"/>
  <c r="G78" i="39"/>
  <c r="F16" i="44"/>
  <c r="J16" s="1"/>
  <c r="L16" s="1"/>
  <c r="I275" i="39"/>
  <c r="H31" i="45"/>
  <c r="G122" i="39"/>
  <c r="F17" i="44"/>
  <c r="J17" s="1"/>
  <c r="L17" s="1"/>
  <c r="I78" i="40"/>
  <c r="H68" i="39"/>
  <c r="H112"/>
  <c r="I698"/>
  <c r="I1004" s="1"/>
  <c r="I66"/>
  <c r="I110"/>
  <c r="I772" l="1"/>
  <c r="I773" s="1"/>
  <c r="H18" i="42"/>
  <c r="H113" i="39"/>
  <c r="H114" s="1"/>
  <c r="G127"/>
  <c r="G123"/>
  <c r="G124" s="1"/>
  <c r="H17" i="42"/>
  <c r="H69" i="39"/>
  <c r="H70" s="1"/>
  <c r="I217"/>
  <c r="I218" s="1"/>
  <c r="G83"/>
  <c r="G79"/>
  <c r="G80" s="1"/>
  <c r="H78"/>
  <c r="G126"/>
  <c r="G129" s="1"/>
  <c r="G82"/>
  <c r="G85" s="1"/>
  <c r="H122"/>
  <c r="H1013"/>
  <c r="I1013"/>
  <c r="J275"/>
  <c r="I31" i="45"/>
  <c r="J78" i="40"/>
  <c r="I68" i="39"/>
  <c r="I112"/>
  <c r="J698"/>
  <c r="J1004" s="1"/>
  <c r="G78" i="40"/>
  <c r="E82" l="1"/>
  <c r="J772" i="39"/>
  <c r="J773" s="1"/>
  <c r="T1196" i="36"/>
  <c r="G128" i="39"/>
  <c r="I18" i="42"/>
  <c r="I113" i="39"/>
  <c r="I114" s="1"/>
  <c r="I17" i="42"/>
  <c r="I69" i="39"/>
  <c r="I70" s="1"/>
  <c r="H127"/>
  <c r="H123"/>
  <c r="H124" s="1"/>
  <c r="H83"/>
  <c r="H79"/>
  <c r="H80" s="1"/>
  <c r="K217"/>
  <c r="K218" s="1"/>
  <c r="J217"/>
  <c r="J218" s="1"/>
  <c r="G20" i="45"/>
  <c r="H126" i="39"/>
  <c r="H129" s="1"/>
  <c r="H82"/>
  <c r="K275"/>
  <c r="I78"/>
  <c r="G19" i="45"/>
  <c r="G84" i="39"/>
  <c r="I122"/>
  <c r="J1013"/>
  <c r="L32" i="43"/>
  <c r="G1013" i="39"/>
  <c r="J31" i="45"/>
  <c r="E78" i="40"/>
  <c r="J66" i="39"/>
  <c r="J110"/>
  <c r="K698"/>
  <c r="K1004" s="1"/>
  <c r="K1013" s="1"/>
  <c r="J67" i="43"/>
  <c r="H506" i="39"/>
  <c r="I506"/>
  <c r="J506"/>
  <c r="E391"/>
  <c r="E393" s="1"/>
  <c r="E26" l="1"/>
  <c r="E957" s="1"/>
  <c r="K78" i="40"/>
  <c r="T1238" i="36"/>
  <c r="T1249" s="1"/>
  <c r="H19" i="45"/>
  <c r="H85" i="39"/>
  <c r="K772"/>
  <c r="K773" s="1"/>
  <c r="I127"/>
  <c r="I123"/>
  <c r="I124" s="1"/>
  <c r="J17" i="42"/>
  <c r="J69" i="39"/>
  <c r="J18" i="42"/>
  <c r="J113" i="39"/>
  <c r="H128"/>
  <c r="I83"/>
  <c r="I79"/>
  <c r="I80" s="1"/>
  <c r="H20" i="45"/>
  <c r="I82" i="39"/>
  <c r="I85" s="1"/>
  <c r="H84"/>
  <c r="K31" i="45"/>
  <c r="I126" i="39"/>
  <c r="I129" s="1"/>
  <c r="T289" i="36"/>
  <c r="K66" i="39"/>
  <c r="K68" s="1"/>
  <c r="T943" i="36"/>
  <c r="K706" i="39"/>
  <c r="T307" i="36"/>
  <c r="K110" i="39"/>
  <c r="K112" s="1"/>
  <c r="J68"/>
  <c r="J112"/>
  <c r="K1014" l="1"/>
  <c r="K1015" s="1"/>
  <c r="K113"/>
  <c r="K114" s="1"/>
  <c r="K69"/>
  <c r="K70" s="1"/>
  <c r="I84"/>
  <c r="K33" i="42"/>
  <c r="K707" i="39"/>
  <c r="K708" s="1"/>
  <c r="J127"/>
  <c r="J123"/>
  <c r="J70"/>
  <c r="J83"/>
  <c r="J79"/>
  <c r="I19" i="45"/>
  <c r="K78" i="39"/>
  <c r="J122"/>
  <c r="J114"/>
  <c r="I20" i="45"/>
  <c r="I128" i="39"/>
  <c r="K122"/>
  <c r="N18" i="42"/>
  <c r="J78" i="39"/>
  <c r="N17" i="42"/>
  <c r="E440" i="39"/>
  <c r="T297" i="36"/>
  <c r="K17" i="42"/>
  <c r="M17" s="1"/>
  <c r="T314" i="36"/>
  <c r="K18" i="42"/>
  <c r="M18" s="1"/>
  <c r="F440" i="39"/>
  <c r="F442" s="1"/>
  <c r="T299" i="36" l="1"/>
  <c r="T316"/>
  <c r="J124" i="39"/>
  <c r="T1095" i="36"/>
  <c r="K123" i="39"/>
  <c r="K124" s="1"/>
  <c r="E28" i="42"/>
  <c r="E441" i="39"/>
  <c r="E442" s="1"/>
  <c r="T1094" i="36"/>
  <c r="K79" i="39"/>
  <c r="K80" s="1"/>
  <c r="J126"/>
  <c r="J82"/>
  <c r="J85" s="1"/>
  <c r="J80"/>
  <c r="O18" i="42"/>
  <c r="O17"/>
  <c r="I440" i="39"/>
  <c r="J440"/>
  <c r="G440"/>
  <c r="L28" i="43"/>
  <c r="M28" s="1"/>
  <c r="G183" i="40"/>
  <c r="K83" i="39" l="1"/>
  <c r="J128"/>
  <c r="J129"/>
  <c r="K127"/>
  <c r="J20" i="45"/>
  <c r="K126" i="39"/>
  <c r="K129" s="1"/>
  <c r="J19" i="45"/>
  <c r="J84" i="39"/>
  <c r="K82"/>
  <c r="K85" s="1"/>
  <c r="F26" i="44"/>
  <c r="O28" i="43"/>
  <c r="P28" s="1"/>
  <c r="G30" i="39"/>
  <c r="G964" s="1"/>
  <c r="C1033" l="1"/>
  <c r="C1035" s="1"/>
  <c r="K128"/>
  <c r="K20" i="45"/>
  <c r="K19"/>
  <c r="K84" i="39"/>
  <c r="J48" i="43"/>
  <c r="J74" s="1"/>
  <c r="H183" i="40"/>
  <c r="I183"/>
  <c r="J183"/>
  <c r="E30" i="39"/>
  <c r="E964" s="1"/>
  <c r="J30" l="1"/>
  <c r="J964" s="1"/>
  <c r="H30"/>
  <c r="H964" s="1"/>
  <c r="I30"/>
  <c r="I964" s="1"/>
  <c r="E29" i="42"/>
  <c r="E495" i="39"/>
  <c r="E496" s="1"/>
  <c r="F494"/>
  <c r="F496" s="1"/>
  <c r="G500"/>
  <c r="D67" i="43" s="1"/>
  <c r="G446" i="39" l="1"/>
  <c r="D66" i="43" s="1"/>
  <c r="E706" i="39"/>
  <c r="E708" s="1"/>
  <c r="T1165" i="36"/>
  <c r="H500" i="39"/>
  <c r="H446"/>
  <c r="T1116" i="36"/>
  <c r="I500" i="39" l="1"/>
  <c r="I446"/>
  <c r="G166"/>
  <c r="L29" i="43" l="1"/>
  <c r="L36" s="1"/>
  <c r="G163" i="39"/>
  <c r="J500"/>
  <c r="J446"/>
  <c r="H166"/>
  <c r="J387"/>
  <c r="I387"/>
  <c r="H433"/>
  <c r="G165" l="1"/>
  <c r="G167" s="1"/>
  <c r="F51" i="43"/>
  <c r="K51" s="1"/>
  <c r="H163" i="39"/>
  <c r="K446"/>
  <c r="F169"/>
  <c r="F171" s="1"/>
  <c r="H440"/>
  <c r="I391"/>
  <c r="J391"/>
  <c r="I166"/>
  <c r="O51" i="43" l="1"/>
  <c r="P51" s="1"/>
  <c r="H11" i="44"/>
  <c r="J11" s="1"/>
  <c r="J403" i="39"/>
  <c r="I403"/>
  <c r="N20" i="42"/>
  <c r="H165" i="39"/>
  <c r="H167" s="1"/>
  <c r="G169"/>
  <c r="F173"/>
  <c r="F175" s="1"/>
  <c r="I163"/>
  <c r="T655" i="36"/>
  <c r="K452" i="39"/>
  <c r="T742" i="36"/>
  <c r="K500" i="39"/>
  <c r="K507" s="1"/>
  <c r="T234" i="36"/>
  <c r="C179" i="40"/>
  <c r="C26" i="39" l="1"/>
  <c r="C957" s="1"/>
  <c r="K453"/>
  <c r="K454" s="1"/>
  <c r="K68" i="42"/>
  <c r="K508" i="39"/>
  <c r="K509" s="1"/>
  <c r="K456"/>
  <c r="I407"/>
  <c r="H169"/>
  <c r="I165"/>
  <c r="J163"/>
  <c r="J166"/>
  <c r="T657" i="36"/>
  <c r="K67" i="42"/>
  <c r="G173" i="39"/>
  <c r="D11" i="44"/>
  <c r="L11" s="1"/>
  <c r="F14" i="45"/>
  <c r="T351" i="36"/>
  <c r="T1114"/>
  <c r="T317"/>
  <c r="G947" i="39"/>
  <c r="T659" i="36" l="1"/>
  <c r="K166" i="39"/>
  <c r="T1101" i="36"/>
  <c r="K457" i="39"/>
  <c r="K458" s="1"/>
  <c r="J407"/>
  <c r="I169"/>
  <c r="I167"/>
  <c r="H173"/>
  <c r="I29" i="43"/>
  <c r="M29" s="1"/>
  <c r="J165" i="39"/>
  <c r="J167" s="1"/>
  <c r="G14" i="45"/>
  <c r="K163" i="39"/>
  <c r="H947"/>
  <c r="G494"/>
  <c r="K407" l="1"/>
  <c r="H14" i="45"/>
  <c r="I36" i="43"/>
  <c r="I173" i="39"/>
  <c r="F27" i="44"/>
  <c r="O29" i="43"/>
  <c r="P29" s="1"/>
  <c r="J169" i="39"/>
  <c r="K165"/>
  <c r="T353" i="36"/>
  <c r="K51" i="42"/>
  <c r="T300" i="36"/>
  <c r="T1113"/>
  <c r="I947" i="39"/>
  <c r="H494"/>
  <c r="C74" i="42"/>
  <c r="M74" s="1"/>
  <c r="O74" s="1"/>
  <c r="C906" i="39"/>
  <c r="C907" s="1"/>
  <c r="T355" i="36" l="1"/>
  <c r="H16" i="42"/>
  <c r="H898" i="39"/>
  <c r="H899" s="1"/>
  <c r="J55" i="42"/>
  <c r="J906" i="39"/>
  <c r="J907" s="1"/>
  <c r="E55" i="42"/>
  <c r="E906" i="39"/>
  <c r="E907" s="1"/>
  <c r="I16" i="42"/>
  <c r="I898" i="39"/>
  <c r="I899" s="1"/>
  <c r="C16" i="42"/>
  <c r="C898" i="39"/>
  <c r="C899" s="1"/>
  <c r="G55" i="42"/>
  <c r="G906" i="39"/>
  <c r="G907" s="1"/>
  <c r="G16" i="42"/>
  <c r="G898" i="39"/>
  <c r="G899" s="1"/>
  <c r="I55" i="42"/>
  <c r="I906" i="39"/>
  <c r="I907" s="1"/>
  <c r="J16" i="42"/>
  <c r="J898" i="39"/>
  <c r="J899" s="1"/>
  <c r="E16" i="42"/>
  <c r="E898" i="39"/>
  <c r="E899" s="1"/>
  <c r="H55" i="42"/>
  <c r="H906" i="39"/>
  <c r="H907" s="1"/>
  <c r="T1096" i="36"/>
  <c r="K170" i="39"/>
  <c r="I25" i="42"/>
  <c r="I250" i="39"/>
  <c r="I251" s="1"/>
  <c r="K169"/>
  <c r="K167"/>
  <c r="I14" i="45"/>
  <c r="J173" i="39"/>
  <c r="N51" i="42"/>
  <c r="C55"/>
  <c r="D907" i="39"/>
  <c r="I264"/>
  <c r="I265" s="1"/>
  <c r="J947"/>
  <c r="I494"/>
  <c r="G54" i="42"/>
  <c r="J54"/>
  <c r="M16" l="1"/>
  <c r="O16" s="1"/>
  <c r="M55"/>
  <c r="G15"/>
  <c r="G850" i="39"/>
  <c r="G851" s="1"/>
  <c r="I54" i="42"/>
  <c r="I859" i="39"/>
  <c r="I860" s="1"/>
  <c r="I910"/>
  <c r="I911" s="1"/>
  <c r="J910"/>
  <c r="J911" s="1"/>
  <c r="H15" i="42"/>
  <c r="H850" i="39"/>
  <c r="H851" s="1"/>
  <c r="E54" i="42"/>
  <c r="E859" i="39"/>
  <c r="E860" s="1"/>
  <c r="E910"/>
  <c r="E911" s="1"/>
  <c r="I15" i="42"/>
  <c r="I850" i="39"/>
  <c r="I851" s="1"/>
  <c r="C15" i="42"/>
  <c r="C850" i="39"/>
  <c r="C851" s="1"/>
  <c r="G914"/>
  <c r="G915" s="1"/>
  <c r="G910"/>
  <c r="G911" s="1"/>
  <c r="J15" i="42"/>
  <c r="J850" i="39"/>
  <c r="J851" s="1"/>
  <c r="E15" i="42"/>
  <c r="E850" i="39"/>
  <c r="E851" s="1"/>
  <c r="H54" i="42"/>
  <c r="H859" i="39"/>
  <c r="H860" s="1"/>
  <c r="H910"/>
  <c r="H911" s="1"/>
  <c r="C910"/>
  <c r="C911" s="1"/>
  <c r="K171"/>
  <c r="J14" i="45"/>
  <c r="K173" i="39"/>
  <c r="D909"/>
  <c r="D911" s="1"/>
  <c r="N55" i="42"/>
  <c r="J494" i="39"/>
  <c r="O55" i="42" l="1"/>
  <c r="M15"/>
  <c r="O15" s="1"/>
  <c r="H914" i="39"/>
  <c r="H915" s="1"/>
  <c r="J863"/>
  <c r="J864" s="1"/>
  <c r="E863"/>
  <c r="E864" s="1"/>
  <c r="H863"/>
  <c r="H864" s="1"/>
  <c r="I863"/>
  <c r="I864" s="1"/>
  <c r="G867"/>
  <c r="G868" s="1"/>
  <c r="G863"/>
  <c r="G864" s="1"/>
  <c r="K14" i="45"/>
  <c r="K495" i="39"/>
  <c r="K947"/>
  <c r="C54" i="42"/>
  <c r="M54" s="1"/>
  <c r="O54" s="1"/>
  <c r="E1014" i="39"/>
  <c r="E1015" s="1"/>
  <c r="G1014"/>
  <c r="G1015" s="1"/>
  <c r="I914" l="1"/>
  <c r="I915" s="1"/>
  <c r="H867"/>
  <c r="H868" s="1"/>
  <c r="C863"/>
  <c r="C864" s="1"/>
  <c r="I35" i="42"/>
  <c r="I803" i="39"/>
  <c r="I804" s="1"/>
  <c r="C35" i="42"/>
  <c r="C803" i="39"/>
  <c r="C804" s="1"/>
  <c r="J35" i="42"/>
  <c r="J803" i="39"/>
  <c r="J804" s="1"/>
  <c r="E35" i="42"/>
  <c r="E803" i="39"/>
  <c r="E804" s="1"/>
  <c r="G35" i="42"/>
  <c r="G803" i="39"/>
  <c r="G804" s="1"/>
  <c r="H35" i="42"/>
  <c r="H803" i="39"/>
  <c r="H804" s="1"/>
  <c r="K494"/>
  <c r="T744" i="36"/>
  <c r="K29" i="42"/>
  <c r="E814" i="39"/>
  <c r="E815" s="1"/>
  <c r="T746" i="36" l="1"/>
  <c r="I867" i="39"/>
  <c r="I868" s="1"/>
  <c r="J914"/>
  <c r="J915" s="1"/>
  <c r="M35" i="42"/>
  <c r="O35" s="1"/>
  <c r="C814" i="39"/>
  <c r="C815" s="1"/>
  <c r="H814"/>
  <c r="H815" s="1"/>
  <c r="J814"/>
  <c r="J815" s="1"/>
  <c r="G818"/>
  <c r="G819" s="1"/>
  <c r="G814"/>
  <c r="G815" s="1"/>
  <c r="I814"/>
  <c r="I815" s="1"/>
  <c r="T1102" i="36"/>
  <c r="K512" i="39"/>
  <c r="K511"/>
  <c r="K496"/>
  <c r="C714"/>
  <c r="C1021" s="1"/>
  <c r="C1014"/>
  <c r="C1015" s="1"/>
  <c r="T1124" i="36" l="1"/>
  <c r="K867" i="39"/>
  <c r="K868" s="1"/>
  <c r="C33" i="42"/>
  <c r="C707" i="39"/>
  <c r="C708" s="1"/>
  <c r="K513"/>
  <c r="C713"/>
  <c r="C1020" s="1"/>
  <c r="D727"/>
  <c r="E72" i="42"/>
  <c r="E716" i="39"/>
  <c r="G33" i="42"/>
  <c r="G706" i="39"/>
  <c r="G708" s="1"/>
  <c r="H1014"/>
  <c r="H1015" s="1"/>
  <c r="H706"/>
  <c r="I1014"/>
  <c r="I1015" s="1"/>
  <c r="I706"/>
  <c r="J1014"/>
  <c r="J1015" s="1"/>
  <c r="J706"/>
  <c r="D706"/>
  <c r="C1025"/>
  <c r="D708" l="1"/>
  <c r="K914"/>
  <c r="K915" s="1"/>
  <c r="J867"/>
  <c r="J868" s="1"/>
  <c r="H818"/>
  <c r="H819" s="1"/>
  <c r="J33" i="42"/>
  <c r="J707" i="39"/>
  <c r="J708" s="1"/>
  <c r="H33" i="42"/>
  <c r="H707" i="39"/>
  <c r="H708" s="1"/>
  <c r="C72" i="42"/>
  <c r="C717" i="39"/>
  <c r="I33" i="42"/>
  <c r="I707" i="39"/>
  <c r="I708" s="1"/>
  <c r="I818"/>
  <c r="I819" s="1"/>
  <c r="E720"/>
  <c r="E718"/>
  <c r="F30" i="44"/>
  <c r="O32" i="43"/>
  <c r="C1024" i="39"/>
  <c r="C1026" s="1"/>
  <c r="C716"/>
  <c r="D720"/>
  <c r="D722" s="1"/>
  <c r="F706"/>
  <c r="N33" i="42" s="1"/>
  <c r="M32" i="43"/>
  <c r="E1029" i="39"/>
  <c r="E1030" s="1"/>
  <c r="E727"/>
  <c r="C721" l="1"/>
  <c r="C1029"/>
  <c r="M33" i="42"/>
  <c r="C718" i="39"/>
  <c r="E721"/>
  <c r="E722" s="1"/>
  <c r="J818"/>
  <c r="J819" s="1"/>
  <c r="E43" i="45"/>
  <c r="F708" i="39"/>
  <c r="P32" i="43"/>
  <c r="C720" i="39"/>
  <c r="C1036"/>
  <c r="C1028"/>
  <c r="G713"/>
  <c r="G1020" s="1"/>
  <c r="G1024" s="1"/>
  <c r="C727"/>
  <c r="F716"/>
  <c r="F718" s="1"/>
  <c r="C722" l="1"/>
  <c r="C1030"/>
  <c r="G717"/>
  <c r="G1025"/>
  <c r="G1026" s="1"/>
  <c r="G1028"/>
  <c r="O33" i="42"/>
  <c r="K818" i="39"/>
  <c r="K819" s="1"/>
  <c r="T1166" i="36"/>
  <c r="N1161"/>
  <c r="G1029" i="39"/>
  <c r="G72" i="42"/>
  <c r="G716" i="39"/>
  <c r="E70" i="43"/>
  <c r="K70" s="1"/>
  <c r="H713" i="39"/>
  <c r="F720"/>
  <c r="G718" l="1"/>
  <c r="H717"/>
  <c r="H1025"/>
  <c r="G1032"/>
  <c r="G1034" s="1"/>
  <c r="G1030"/>
  <c r="G721"/>
  <c r="F724"/>
  <c r="F726" s="1"/>
  <c r="F722"/>
  <c r="G720"/>
  <c r="O70" i="43"/>
  <c r="P70" s="1"/>
  <c r="H716" i="39"/>
  <c r="H1020"/>
  <c r="H1024" s="1"/>
  <c r="H30" i="44"/>
  <c r="J30" s="1"/>
  <c r="H1029" i="39"/>
  <c r="H72" i="42"/>
  <c r="I713" i="39"/>
  <c r="T1123" i="36"/>
  <c r="E1035" i="39" l="1"/>
  <c r="G725"/>
  <c r="I717"/>
  <c r="I1025"/>
  <c r="F43" i="45"/>
  <c r="G1036" i="39"/>
  <c r="H1028"/>
  <c r="H1026"/>
  <c r="F727"/>
  <c r="D30" i="44"/>
  <c r="L30" s="1"/>
  <c r="H721" i="39"/>
  <c r="H720"/>
  <c r="H718"/>
  <c r="G724"/>
  <c r="G722"/>
  <c r="I716"/>
  <c r="I1020"/>
  <c r="I1024" s="1"/>
  <c r="I1029"/>
  <c r="I72" i="42"/>
  <c r="J713" i="39"/>
  <c r="E658"/>
  <c r="E1075" s="1"/>
  <c r="C30" i="42"/>
  <c r="E648" i="39"/>
  <c r="E1063" s="1"/>
  <c r="G1033" l="1"/>
  <c r="G1035" s="1"/>
  <c r="G726"/>
  <c r="J717"/>
  <c r="J1025"/>
  <c r="H725"/>
  <c r="H1032"/>
  <c r="H1034" s="1"/>
  <c r="H1030"/>
  <c r="I1028"/>
  <c r="I1026"/>
  <c r="I721"/>
  <c r="H722"/>
  <c r="I720"/>
  <c r="I718"/>
  <c r="G43" i="45"/>
  <c r="H724" i="39"/>
  <c r="H727" s="1"/>
  <c r="G727"/>
  <c r="E651"/>
  <c r="J716"/>
  <c r="J1020"/>
  <c r="J1024" s="1"/>
  <c r="J1029"/>
  <c r="J72" i="42"/>
  <c r="E659" i="39"/>
  <c r="E660" s="1"/>
  <c r="T983" i="36"/>
  <c r="K713" i="39"/>
  <c r="C659"/>
  <c r="C1076" s="1"/>
  <c r="G660"/>
  <c r="C658"/>
  <c r="C1075" s="1"/>
  <c r="J660"/>
  <c r="C599"/>
  <c r="C1067" s="1"/>
  <c r="E598"/>
  <c r="E1066" s="1"/>
  <c r="H1033" l="1"/>
  <c r="H1035" s="1"/>
  <c r="J718"/>
  <c r="I725"/>
  <c r="K717"/>
  <c r="K1025"/>
  <c r="I722"/>
  <c r="H1036"/>
  <c r="J1028"/>
  <c r="J1026"/>
  <c r="I1032"/>
  <c r="I1034" s="1"/>
  <c r="I1030"/>
  <c r="J721"/>
  <c r="H43" i="45"/>
  <c r="H726" i="39"/>
  <c r="I724"/>
  <c r="J30" i="42"/>
  <c r="J652" i="39"/>
  <c r="J653" s="1"/>
  <c r="E30" i="42"/>
  <c r="E652" i="39"/>
  <c r="E653" s="1"/>
  <c r="G30" i="42"/>
  <c r="G652" i="39"/>
  <c r="G653" s="1"/>
  <c r="I30" i="42"/>
  <c r="I652" i="39"/>
  <c r="I653" s="1"/>
  <c r="E69" i="42"/>
  <c r="E661" i="39"/>
  <c r="E662" s="1"/>
  <c r="C69" i="42"/>
  <c r="C661" i="39"/>
  <c r="G69" i="42"/>
  <c r="G661" i="39"/>
  <c r="G662" s="1"/>
  <c r="H69" i="42"/>
  <c r="H661" i="39"/>
  <c r="I69" i="42"/>
  <c r="I661" i="39"/>
  <c r="J69" i="42"/>
  <c r="J661" i="39"/>
  <c r="J662" s="1"/>
  <c r="N30" i="42"/>
  <c r="J720" i="39"/>
  <c r="C1080"/>
  <c r="E600"/>
  <c r="E1068"/>
  <c r="K716"/>
  <c r="K1020"/>
  <c r="K1024" s="1"/>
  <c r="J608"/>
  <c r="T985" i="36"/>
  <c r="K72" i="42"/>
  <c r="M72" s="1"/>
  <c r="E608" i="39"/>
  <c r="H608"/>
  <c r="I608"/>
  <c r="G608"/>
  <c r="G1076" s="1"/>
  <c r="G1080" s="1"/>
  <c r="E52" i="43"/>
  <c r="H598" i="39"/>
  <c r="H1066" s="1"/>
  <c r="G598"/>
  <c r="J598"/>
  <c r="J1066" s="1"/>
  <c r="I598"/>
  <c r="I1066" s="1"/>
  <c r="C660"/>
  <c r="H660"/>
  <c r="D660"/>
  <c r="F660"/>
  <c r="F662" s="1"/>
  <c r="C598"/>
  <c r="C1066" s="1"/>
  <c r="E664"/>
  <c r="I660"/>
  <c r="F600"/>
  <c r="F602" s="1"/>
  <c r="G664"/>
  <c r="D600"/>
  <c r="D602" s="1"/>
  <c r="J664"/>
  <c r="T987" i="36" l="1"/>
  <c r="G1066" i="39"/>
  <c r="G1068" s="1"/>
  <c r="K1029"/>
  <c r="I1033"/>
  <c r="I1035" s="1"/>
  <c r="J725"/>
  <c r="E1070"/>
  <c r="C1092"/>
  <c r="I1036"/>
  <c r="K1028"/>
  <c r="K1026"/>
  <c r="J1032"/>
  <c r="J1030"/>
  <c r="T1155" i="36"/>
  <c r="T1159" s="1"/>
  <c r="K721" i="39"/>
  <c r="J724"/>
  <c r="J722"/>
  <c r="I43" i="45"/>
  <c r="I726" i="39"/>
  <c r="K720"/>
  <c r="K718"/>
  <c r="I727"/>
  <c r="M30" i="42"/>
  <c r="O30" s="1"/>
  <c r="C13"/>
  <c r="C601" i="39"/>
  <c r="H13" i="42"/>
  <c r="H601" i="39"/>
  <c r="G13" i="42"/>
  <c r="G601" i="39"/>
  <c r="J13" i="42"/>
  <c r="J601" i="39"/>
  <c r="I13" i="42"/>
  <c r="I601" i="39"/>
  <c r="C662"/>
  <c r="E13" i="42"/>
  <c r="E601" i="39"/>
  <c r="E602" s="1"/>
  <c r="M69" i="42"/>
  <c r="I665" i="39"/>
  <c r="J665"/>
  <c r="J666" s="1"/>
  <c r="C665"/>
  <c r="G669"/>
  <c r="G665"/>
  <c r="G666" s="1"/>
  <c r="E665"/>
  <c r="E666" s="1"/>
  <c r="H665"/>
  <c r="H664"/>
  <c r="H662"/>
  <c r="I664"/>
  <c r="I662"/>
  <c r="E38" i="45"/>
  <c r="D662" i="39"/>
  <c r="C664"/>
  <c r="N69" i="42"/>
  <c r="N72"/>
  <c r="O72" s="1"/>
  <c r="E610" i="39"/>
  <c r="E1076"/>
  <c r="E1080" s="1"/>
  <c r="H610"/>
  <c r="H1076"/>
  <c r="H1080" s="1"/>
  <c r="J610"/>
  <c r="J1076"/>
  <c r="J1080" s="1"/>
  <c r="I610"/>
  <c r="I1076"/>
  <c r="I1080" s="1"/>
  <c r="H600"/>
  <c r="H1068"/>
  <c r="H1070" s="1"/>
  <c r="C600"/>
  <c r="C1068"/>
  <c r="I600"/>
  <c r="I1068"/>
  <c r="I1070" s="1"/>
  <c r="J600"/>
  <c r="J1068"/>
  <c r="J1070" s="1"/>
  <c r="F52" i="43"/>
  <c r="K52" s="1"/>
  <c r="G610" i="39"/>
  <c r="G600"/>
  <c r="J14" i="43"/>
  <c r="M14" s="1"/>
  <c r="T1160" i="36"/>
  <c r="C671" i="39"/>
  <c r="D621"/>
  <c r="C621"/>
  <c r="D664"/>
  <c r="D666" s="1"/>
  <c r="C1081"/>
  <c r="C1082" s="1"/>
  <c r="F664"/>
  <c r="F666" s="1"/>
  <c r="C53" i="42"/>
  <c r="M53" s="1"/>
  <c r="O53" s="1"/>
  <c r="G1084" i="39" l="1"/>
  <c r="G1088" s="1"/>
  <c r="G1090" s="1"/>
  <c r="G1070"/>
  <c r="J1033"/>
  <c r="J1035" s="1"/>
  <c r="J1034"/>
  <c r="J1036"/>
  <c r="J611"/>
  <c r="J612" s="1"/>
  <c r="J1081"/>
  <c r="J1082" s="1"/>
  <c r="I611"/>
  <c r="I612" s="1"/>
  <c r="I1081"/>
  <c r="I1082" s="1"/>
  <c r="E611"/>
  <c r="E612" s="1"/>
  <c r="E1081"/>
  <c r="E1082" s="1"/>
  <c r="K725"/>
  <c r="H611"/>
  <c r="H612" s="1"/>
  <c r="H1081"/>
  <c r="H1082" s="1"/>
  <c r="G611"/>
  <c r="G612" s="1"/>
  <c r="G1081"/>
  <c r="G1082" s="1"/>
  <c r="C666"/>
  <c r="J602"/>
  <c r="E1092"/>
  <c r="K1032"/>
  <c r="K1034" s="1"/>
  <c r="K1030"/>
  <c r="C1084"/>
  <c r="C1070"/>
  <c r="K724"/>
  <c r="K727" s="1"/>
  <c r="T1161" i="36"/>
  <c r="K722" i="39"/>
  <c r="J43" i="45"/>
  <c r="J726" i="39"/>
  <c r="J727"/>
  <c r="I666"/>
  <c r="H602"/>
  <c r="H669"/>
  <c r="G602"/>
  <c r="M13" i="42"/>
  <c r="H14"/>
  <c r="H552" i="39"/>
  <c r="H553" s="1"/>
  <c r="I602"/>
  <c r="I14" i="42"/>
  <c r="I552" i="39"/>
  <c r="I553" s="1"/>
  <c r="C52" i="42"/>
  <c r="C611" i="39"/>
  <c r="C612" s="1"/>
  <c r="J14" i="42"/>
  <c r="J552" i="39"/>
  <c r="J553" s="1"/>
  <c r="E14" i="42"/>
  <c r="E552" i="39"/>
  <c r="E553" s="1"/>
  <c r="C602"/>
  <c r="O69" i="42"/>
  <c r="H666" i="39"/>
  <c r="O52" i="43"/>
  <c r="P52" s="1"/>
  <c r="E614" i="39"/>
  <c r="N52" i="42"/>
  <c r="F12" i="44"/>
  <c r="O14" i="43"/>
  <c r="P14" s="1"/>
  <c r="N13" i="42"/>
  <c r="J614" i="39"/>
  <c r="I614"/>
  <c r="H614"/>
  <c r="I1084"/>
  <c r="J1084"/>
  <c r="H1084"/>
  <c r="E1084"/>
  <c r="J52" i="42"/>
  <c r="H52"/>
  <c r="I52"/>
  <c r="G52"/>
  <c r="T988" i="36"/>
  <c r="T1169"/>
  <c r="T1164"/>
  <c r="E52" i="42"/>
  <c r="J36" i="43"/>
  <c r="G614" i="39"/>
  <c r="H12" i="44"/>
  <c r="E621" i="39"/>
  <c r="D614"/>
  <c r="D616" s="1"/>
  <c r="C614"/>
  <c r="F614"/>
  <c r="F616" s="1"/>
  <c r="C552"/>
  <c r="C553" s="1"/>
  <c r="J563"/>
  <c r="J564" s="1"/>
  <c r="H563"/>
  <c r="H564" s="1"/>
  <c r="E563"/>
  <c r="E564" s="1"/>
  <c r="I563"/>
  <c r="I564" s="1"/>
  <c r="G563"/>
  <c r="G564" s="1"/>
  <c r="C947"/>
  <c r="C491"/>
  <c r="T1168" i="36" l="1"/>
  <c r="I669" i="39"/>
  <c r="C615"/>
  <c r="C616" s="1"/>
  <c r="C1086"/>
  <c r="J615"/>
  <c r="J616" s="1"/>
  <c r="J1086"/>
  <c r="I615"/>
  <c r="I616" s="1"/>
  <c r="I1086"/>
  <c r="E615"/>
  <c r="E616" s="1"/>
  <c r="E1086"/>
  <c r="H615"/>
  <c r="H616" s="1"/>
  <c r="H1086"/>
  <c r="G615"/>
  <c r="G616" s="1"/>
  <c r="G1086"/>
  <c r="K726"/>
  <c r="G1092"/>
  <c r="H1088"/>
  <c r="H1090" s="1"/>
  <c r="K1036"/>
  <c r="K43" i="45"/>
  <c r="O13" i="42"/>
  <c r="F670" i="39"/>
  <c r="E15" i="45"/>
  <c r="M52" i="42"/>
  <c r="O52" s="1"/>
  <c r="J12" i="44"/>
  <c r="F38" i="45"/>
  <c r="F618" i="39"/>
  <c r="G668"/>
  <c r="J502"/>
  <c r="J507" s="1"/>
  <c r="I502"/>
  <c r="I507" s="1"/>
  <c r="E508"/>
  <c r="E502"/>
  <c r="H502"/>
  <c r="H507" s="1"/>
  <c r="G502"/>
  <c r="C502"/>
  <c r="D507"/>
  <c r="C14" i="42"/>
  <c r="M14" s="1"/>
  <c r="O14" s="1"/>
  <c r="C505" i="39"/>
  <c r="C963" s="1"/>
  <c r="C494"/>
  <c r="D494"/>
  <c r="D496" s="1"/>
  <c r="K1033" l="1"/>
  <c r="K1035" s="1"/>
  <c r="T1170" i="36"/>
  <c r="C1089" i="39"/>
  <c r="C1091" s="1"/>
  <c r="E507"/>
  <c r="E509" s="1"/>
  <c r="I1088"/>
  <c r="H1092"/>
  <c r="G29" i="42"/>
  <c r="G495" i="39"/>
  <c r="G496" s="1"/>
  <c r="I29" i="42"/>
  <c r="I495" i="39"/>
  <c r="I496" s="1"/>
  <c r="C29" i="42"/>
  <c r="C495" i="39"/>
  <c r="C496" s="1"/>
  <c r="H29" i="42"/>
  <c r="H495" i="39"/>
  <c r="H496" s="1"/>
  <c r="C68" i="42"/>
  <c r="C508" i="39"/>
  <c r="C563"/>
  <c r="C564" s="1"/>
  <c r="G567"/>
  <c r="G568" s="1"/>
  <c r="J669"/>
  <c r="G619"/>
  <c r="J68" i="42"/>
  <c r="J508" i="39"/>
  <c r="J509" s="1"/>
  <c r="I68" i="42"/>
  <c r="I508" i="39"/>
  <c r="I509" s="1"/>
  <c r="H68" i="42"/>
  <c r="H508" i="39"/>
  <c r="H509" s="1"/>
  <c r="G68" i="42"/>
  <c r="G508" i="39"/>
  <c r="G670"/>
  <c r="I511"/>
  <c r="D518"/>
  <c r="D509"/>
  <c r="H511"/>
  <c r="J511"/>
  <c r="F15" i="45"/>
  <c r="F620" i="39"/>
  <c r="N29" i="42"/>
  <c r="E512" i="39"/>
  <c r="E68" i="42"/>
  <c r="G507" i="39"/>
  <c r="F67" i="43"/>
  <c r="K67" s="1"/>
  <c r="F621" i="39"/>
  <c r="D12" i="44"/>
  <c r="L12" s="1"/>
  <c r="G618" i="39"/>
  <c r="H668"/>
  <c r="H670" s="1"/>
  <c r="G38" i="45"/>
  <c r="C507" i="39"/>
  <c r="F507"/>
  <c r="D511"/>
  <c r="D513" s="1"/>
  <c r="C512"/>
  <c r="I1092" l="1"/>
  <c r="I1090"/>
  <c r="E511"/>
  <c r="E513" s="1"/>
  <c r="E518"/>
  <c r="H619"/>
  <c r="J1088"/>
  <c r="J29" i="42"/>
  <c r="M29" s="1"/>
  <c r="O29" s="1"/>
  <c r="J495" i="39"/>
  <c r="J496" s="1"/>
  <c r="H567"/>
  <c r="H568" s="1"/>
  <c r="C509"/>
  <c r="K669"/>
  <c r="T1145" i="36"/>
  <c r="H512" i="39"/>
  <c r="H513" s="1"/>
  <c r="I512"/>
  <c r="I513" s="1"/>
  <c r="G516"/>
  <c r="G512"/>
  <c r="M68" i="42"/>
  <c r="G509" i="39"/>
  <c r="F511"/>
  <c r="F509"/>
  <c r="G621"/>
  <c r="G620"/>
  <c r="E37" i="45"/>
  <c r="C518" i="39"/>
  <c r="N68" i="42"/>
  <c r="G511" i="39"/>
  <c r="O67" i="43"/>
  <c r="P67" s="1"/>
  <c r="H27" i="44"/>
  <c r="J27" s="1"/>
  <c r="H618" i="39"/>
  <c r="G15" i="45"/>
  <c r="I668" i="39"/>
  <c r="I670" s="1"/>
  <c r="H38" i="45"/>
  <c r="C511" i="39"/>
  <c r="C513" s="1"/>
  <c r="C436"/>
  <c r="C946" s="1"/>
  <c r="J1092" l="1"/>
  <c r="J1090"/>
  <c r="K1088"/>
  <c r="K1092" s="1"/>
  <c r="I619"/>
  <c r="G448"/>
  <c r="H516"/>
  <c r="H28" i="42"/>
  <c r="H441" i="39"/>
  <c r="H442" s="1"/>
  <c r="J28" i="42"/>
  <c r="J441" i="39"/>
  <c r="J442" s="1"/>
  <c r="I567"/>
  <c r="I568" s="1"/>
  <c r="J448"/>
  <c r="H448"/>
  <c r="I28" i="42"/>
  <c r="I441" i="39"/>
  <c r="I442" s="1"/>
  <c r="G28" i="42"/>
  <c r="G441" i="39"/>
  <c r="G442" s="1"/>
  <c r="J512"/>
  <c r="J513" s="1"/>
  <c r="O68" i="42"/>
  <c r="H621" i="39"/>
  <c r="H620"/>
  <c r="F515"/>
  <c r="F513"/>
  <c r="G513"/>
  <c r="I448"/>
  <c r="E66" i="43"/>
  <c r="I618" i="39"/>
  <c r="H15" i="45"/>
  <c r="J668" i="39"/>
  <c r="J670" s="1"/>
  <c r="I38" i="45"/>
  <c r="C452" i="39"/>
  <c r="C440"/>
  <c r="F66" i="43" l="1"/>
  <c r="K66" s="1"/>
  <c r="I516" i="39"/>
  <c r="J567"/>
  <c r="J568" s="1"/>
  <c r="J20" i="42"/>
  <c r="J392" i="39"/>
  <c r="J393" s="1"/>
  <c r="C20" i="42"/>
  <c r="C392" i="39"/>
  <c r="C393" s="1"/>
  <c r="G59" i="42"/>
  <c r="G400" i="39"/>
  <c r="G401" s="1"/>
  <c r="G20" i="42"/>
  <c r="G392" i="39"/>
  <c r="G393" s="1"/>
  <c r="H59" i="42"/>
  <c r="H400" i="39"/>
  <c r="H401" s="1"/>
  <c r="I20" i="42"/>
  <c r="I392" i="39"/>
  <c r="I393" s="1"/>
  <c r="J59" i="42"/>
  <c r="J400" i="39"/>
  <c r="J401" s="1"/>
  <c r="C28" i="42"/>
  <c r="M28" s="1"/>
  <c r="C441" i="39"/>
  <c r="C442" s="1"/>
  <c r="H20" i="42"/>
  <c r="H392" i="39"/>
  <c r="H393" s="1"/>
  <c r="I59" i="42"/>
  <c r="I400" i="39"/>
  <c r="I401" s="1"/>
  <c r="C67" i="42"/>
  <c r="C453" i="39"/>
  <c r="C454" s="1"/>
  <c r="E67" i="42"/>
  <c r="E453" i="39"/>
  <c r="J619"/>
  <c r="J67" i="42"/>
  <c r="J453" i="39"/>
  <c r="I67" i="42"/>
  <c r="I453" i="39"/>
  <c r="H67" i="42"/>
  <c r="H453" i="39"/>
  <c r="G67" i="42"/>
  <c r="G453" i="39"/>
  <c r="F517"/>
  <c r="F37" i="45"/>
  <c r="D27" i="44"/>
  <c r="L27" s="1"/>
  <c r="F518" i="39"/>
  <c r="N28" i="42"/>
  <c r="I621" i="39"/>
  <c r="I620"/>
  <c r="G515"/>
  <c r="C463"/>
  <c r="J618"/>
  <c r="I15" i="45"/>
  <c r="K668" i="39"/>
  <c r="J38" i="45"/>
  <c r="G452" i="39"/>
  <c r="D452"/>
  <c r="E452"/>
  <c r="H452"/>
  <c r="J452"/>
  <c r="F452"/>
  <c r="F454" s="1"/>
  <c r="I452"/>
  <c r="E457"/>
  <c r="C456"/>
  <c r="E404"/>
  <c r="C64" i="42"/>
  <c r="M64" s="1"/>
  <c r="O64" s="1"/>
  <c r="G250" i="39"/>
  <c r="G251" s="1"/>
  <c r="C399" l="1"/>
  <c r="N59" i="42" s="1"/>
  <c r="K1090" i="39"/>
  <c r="M20" i="42"/>
  <c r="O20" s="1"/>
  <c r="K567" i="39"/>
  <c r="K568" s="1"/>
  <c r="T1122" i="36"/>
  <c r="G408" i="39"/>
  <c r="G409" s="1"/>
  <c r="G404"/>
  <c r="G405" s="1"/>
  <c r="H25" i="42"/>
  <c r="H250" i="39"/>
  <c r="H251" s="1"/>
  <c r="J404"/>
  <c r="J405" s="1"/>
  <c r="C457"/>
  <c r="C458" s="1"/>
  <c r="O28" i="42"/>
  <c r="H404" i="39"/>
  <c r="H405" s="1"/>
  <c r="C25" i="42"/>
  <c r="C250" i="39"/>
  <c r="C251" s="1"/>
  <c r="C59" i="42"/>
  <c r="M59" s="1"/>
  <c r="C400" i="39"/>
  <c r="I404"/>
  <c r="I405" s="1"/>
  <c r="K619"/>
  <c r="M67" i="42"/>
  <c r="J457" i="39"/>
  <c r="I457"/>
  <c r="H457"/>
  <c r="G461"/>
  <c r="G457"/>
  <c r="J25" i="42"/>
  <c r="J250" i="39"/>
  <c r="J251" s="1"/>
  <c r="K38" i="45"/>
  <c r="K670" i="39"/>
  <c r="E456"/>
  <c r="E454"/>
  <c r="I456"/>
  <c r="I454"/>
  <c r="D456"/>
  <c r="D458" s="1"/>
  <c r="D454"/>
  <c r="H515"/>
  <c r="G517"/>
  <c r="G37" i="45"/>
  <c r="G518" i="39"/>
  <c r="H456"/>
  <c r="H454"/>
  <c r="J456"/>
  <c r="J454"/>
  <c r="O66" i="43"/>
  <c r="P66" s="1"/>
  <c r="G454" i="39"/>
  <c r="J621"/>
  <c r="J620"/>
  <c r="E403"/>
  <c r="E401"/>
  <c r="N67" i="42"/>
  <c r="T1148" i="36"/>
  <c r="T875"/>
  <c r="T1144"/>
  <c r="G25" i="42"/>
  <c r="G264" i="39"/>
  <c r="G265" s="1"/>
  <c r="H264"/>
  <c r="H265" s="1"/>
  <c r="K618"/>
  <c r="J15" i="45"/>
  <c r="G456" i="39"/>
  <c r="H26" i="44"/>
  <c r="J26" s="1"/>
  <c r="E463" i="39"/>
  <c r="D463"/>
  <c r="F456"/>
  <c r="F458" s="1"/>
  <c r="F24" i="45"/>
  <c r="L19" i="44"/>
  <c r="J264" i="39"/>
  <c r="J265" s="1"/>
  <c r="E264"/>
  <c r="E265" s="1"/>
  <c r="C264"/>
  <c r="C265" s="1"/>
  <c r="O59" i="42" l="1"/>
  <c r="J516" i="39"/>
  <c r="H408"/>
  <c r="H409" s="1"/>
  <c r="J458"/>
  <c r="C404"/>
  <c r="C401"/>
  <c r="K516"/>
  <c r="T1121" i="36"/>
  <c r="T747"/>
  <c r="I458" i="39"/>
  <c r="O67" i="42"/>
  <c r="H458" i="39"/>
  <c r="G458"/>
  <c r="M25" i="42"/>
  <c r="O25" s="1"/>
  <c r="G272" i="39"/>
  <c r="G271"/>
  <c r="I515"/>
  <c r="H517"/>
  <c r="H37" i="45"/>
  <c r="H518" i="39"/>
  <c r="K15" i="45"/>
  <c r="K620" i="39"/>
  <c r="E36" i="45"/>
  <c r="E458" i="39"/>
  <c r="E24" i="45"/>
  <c r="E405" i="39"/>
  <c r="D403"/>
  <c r="D405" s="1"/>
  <c r="D401"/>
  <c r="C403"/>
  <c r="K621"/>
  <c r="F460"/>
  <c r="G24" i="45"/>
  <c r="D263" i="39"/>
  <c r="D265" s="1"/>
  <c r="I408" l="1"/>
  <c r="I409" s="1"/>
  <c r="C405"/>
  <c r="H461"/>
  <c r="G276"/>
  <c r="G277" s="1"/>
  <c r="H272"/>
  <c r="G273"/>
  <c r="F463"/>
  <c r="F462"/>
  <c r="J515"/>
  <c r="I517"/>
  <c r="I37" i="45"/>
  <c r="I518" i="39"/>
  <c r="H271"/>
  <c r="G460"/>
  <c r="D26" i="44"/>
  <c r="L26" s="1"/>
  <c r="F36" i="45"/>
  <c r="J22" i="44"/>
  <c r="H24" i="45"/>
  <c r="M24" i="43"/>
  <c r="P24" s="1"/>
  <c r="J408" i="39" l="1"/>
  <c r="J409" s="1"/>
  <c r="I461"/>
  <c r="H273"/>
  <c r="H276"/>
  <c r="H277" s="1"/>
  <c r="I271"/>
  <c r="I272"/>
  <c r="K515"/>
  <c r="J517"/>
  <c r="J37" i="45"/>
  <c r="J518" i="39"/>
  <c r="H460"/>
  <c r="H463" s="1"/>
  <c r="G462"/>
  <c r="G463"/>
  <c r="G36" i="45"/>
  <c r="I24"/>
  <c r="K408" i="39" l="1"/>
  <c r="K409" s="1"/>
  <c r="J461"/>
  <c r="I273"/>
  <c r="J271"/>
  <c r="J272"/>
  <c r="I276"/>
  <c r="I277" s="1"/>
  <c r="H36" i="45"/>
  <c r="I460" i="39"/>
  <c r="I463" s="1"/>
  <c r="H462"/>
  <c r="K517"/>
  <c r="K37" i="45"/>
  <c r="K518" i="39"/>
  <c r="L22" i="44"/>
  <c r="J24" i="45"/>
  <c r="G51" i="42"/>
  <c r="H51"/>
  <c r="I51"/>
  <c r="J51"/>
  <c r="E51"/>
  <c r="E1089" i="39" l="1"/>
  <c r="E1091" s="1"/>
  <c r="G12" i="42"/>
  <c r="G158" i="39"/>
  <c r="G159" s="1"/>
  <c r="J12" i="42"/>
  <c r="J158" i="39"/>
  <c r="J159" s="1"/>
  <c r="I12" i="42"/>
  <c r="I158" i="39"/>
  <c r="I159" s="1"/>
  <c r="C12" i="42"/>
  <c r="C158" i="39"/>
  <c r="C159" s="1"/>
  <c r="H12" i="42"/>
  <c r="H158" i="39"/>
  <c r="H159" s="1"/>
  <c r="E12" i="42"/>
  <c r="E158" i="39"/>
  <c r="E159" s="1"/>
  <c r="K461"/>
  <c r="T660" i="36"/>
  <c r="T1120"/>
  <c r="J273" i="39"/>
  <c r="K272"/>
  <c r="J276"/>
  <c r="J277" s="1"/>
  <c r="K271"/>
  <c r="J460"/>
  <c r="I462"/>
  <c r="I36" i="45"/>
  <c r="K24"/>
  <c r="E36" i="43"/>
  <c r="C169" i="39"/>
  <c r="K276" l="1"/>
  <c r="K277" s="1"/>
  <c r="M12" i="42"/>
  <c r="O12" s="1"/>
  <c r="J170" i="39"/>
  <c r="J171" s="1"/>
  <c r="I170"/>
  <c r="I171" s="1"/>
  <c r="G174"/>
  <c r="G175" s="1"/>
  <c r="G170"/>
  <c r="G171" s="1"/>
  <c r="E170"/>
  <c r="E171" s="1"/>
  <c r="H170"/>
  <c r="H171" s="1"/>
  <c r="K273"/>
  <c r="K460"/>
  <c r="J462"/>
  <c r="J36" i="45"/>
  <c r="J463" i="39"/>
  <c r="T1117" i="36"/>
  <c r="C51" i="42"/>
  <c r="M51" s="1"/>
  <c r="O51" s="1"/>
  <c r="G1089" i="39"/>
  <c r="G1091" s="1"/>
  <c r="C170" l="1"/>
  <c r="C171" s="1"/>
  <c r="K462"/>
  <c r="K36" i="45"/>
  <c r="K463" i="39"/>
  <c r="T1147" i="36"/>
  <c r="T1119"/>
  <c r="K1089" i="39" l="1"/>
  <c r="K1091" s="1"/>
  <c r="H1089"/>
  <c r="H1091" s="1"/>
  <c r="H174"/>
  <c r="H175" s="1"/>
  <c r="T1149" i="36"/>
  <c r="G179" i="40"/>
  <c r="C30" i="39"/>
  <c r="C964" s="1"/>
  <c r="E115" i="40"/>
  <c r="G115"/>
  <c r="H115"/>
  <c r="I115"/>
  <c r="J115"/>
  <c r="C79"/>
  <c r="E48"/>
  <c r="G48"/>
  <c r="H48"/>
  <c r="I48"/>
  <c r="J48"/>
  <c r="C49"/>
  <c r="E49"/>
  <c r="G49"/>
  <c r="H49"/>
  <c r="I49"/>
  <c r="J49"/>
  <c r="E14"/>
  <c r="G14"/>
  <c r="H14"/>
  <c r="I14"/>
  <c r="J14"/>
  <c r="G26" i="39" l="1"/>
  <c r="G957" s="1"/>
  <c r="J1089"/>
  <c r="J1091" s="1"/>
  <c r="I1089"/>
  <c r="I1091" s="1"/>
  <c r="I174"/>
  <c r="I175" s="1"/>
  <c r="E149" i="40"/>
  <c r="I80"/>
  <c r="H79"/>
  <c r="H27" i="39" s="1"/>
  <c r="H80" i="40"/>
  <c r="G79"/>
  <c r="G27" i="39" s="1"/>
  <c r="G80" i="40"/>
  <c r="J79"/>
  <c r="J27" i="39" s="1"/>
  <c r="E79" i="40"/>
  <c r="E27" i="39" s="1"/>
  <c r="E147" i="40"/>
  <c r="J80"/>
  <c r="E80"/>
  <c r="I79"/>
  <c r="I27" i="39" s="1"/>
  <c r="F16" i="40"/>
  <c r="C149"/>
  <c r="C184"/>
  <c r="C77"/>
  <c r="G50"/>
  <c r="D50"/>
  <c r="D52" s="1"/>
  <c r="C147"/>
  <c r="C148" s="1"/>
  <c r="E50"/>
  <c r="C48"/>
  <c r="C50" s="1"/>
  <c r="D117"/>
  <c r="D119" s="1"/>
  <c r="C80"/>
  <c r="E118"/>
  <c r="F117"/>
  <c r="F119" s="1"/>
  <c r="G16"/>
  <c r="C14"/>
  <c r="J50"/>
  <c r="I50"/>
  <c r="C118"/>
  <c r="C115"/>
  <c r="C117" s="1"/>
  <c r="I16"/>
  <c r="G118"/>
  <c r="G117"/>
  <c r="H16"/>
  <c r="E117"/>
  <c r="H50"/>
  <c r="J118"/>
  <c r="J117"/>
  <c r="I118"/>
  <c r="I117"/>
  <c r="J16"/>
  <c r="F50"/>
  <c r="F52" s="1"/>
  <c r="H118"/>
  <c r="H117"/>
  <c r="C82"/>
  <c r="I51"/>
  <c r="G51"/>
  <c r="J17"/>
  <c r="E17"/>
  <c r="I17"/>
  <c r="G17"/>
  <c r="C17"/>
  <c r="J51"/>
  <c r="H51"/>
  <c r="E51"/>
  <c r="H17"/>
  <c r="C51"/>
  <c r="C185"/>
  <c r="C25" i="39" l="1"/>
  <c r="C956" s="1"/>
  <c r="C27"/>
  <c r="C958" s="1"/>
  <c r="G958"/>
  <c r="I958"/>
  <c r="J958"/>
  <c r="H958"/>
  <c r="E958"/>
  <c r="C28"/>
  <c r="C959" s="1"/>
  <c r="E28"/>
  <c r="E959" s="1"/>
  <c r="D48" i="43"/>
  <c r="D74" s="1"/>
  <c r="C119" i="40"/>
  <c r="E119"/>
  <c r="G52"/>
  <c r="J18"/>
  <c r="H18"/>
  <c r="I119"/>
  <c r="J119"/>
  <c r="I52"/>
  <c r="E52"/>
  <c r="I18"/>
  <c r="G18"/>
  <c r="F18"/>
  <c r="H52"/>
  <c r="C52"/>
  <c r="H119"/>
  <c r="G119"/>
  <c r="J52"/>
  <c r="C150"/>
  <c r="C186"/>
  <c r="J174" i="39"/>
  <c r="J175" s="1"/>
  <c r="H179" i="40"/>
  <c r="E148"/>
  <c r="E150" s="1"/>
  <c r="C16"/>
  <c r="G77"/>
  <c r="G149"/>
  <c r="G147"/>
  <c r="D148"/>
  <c r="D150" s="1"/>
  <c r="F81"/>
  <c r="F83" s="1"/>
  <c r="C81"/>
  <c r="C83" s="1"/>
  <c r="D81"/>
  <c r="D83" s="1"/>
  <c r="E81"/>
  <c r="E83" s="1"/>
  <c r="D184"/>
  <c r="F148"/>
  <c r="F150" s="1"/>
  <c r="E16"/>
  <c r="G82"/>
  <c r="D16"/>
  <c r="I179"/>
  <c r="I26" i="39" l="1"/>
  <c r="I957" s="1"/>
  <c r="H26"/>
  <c r="H957" s="1"/>
  <c r="G28"/>
  <c r="G25"/>
  <c r="G956" s="1"/>
  <c r="D186" i="40"/>
  <c r="C18"/>
  <c r="D18"/>
  <c r="E18"/>
  <c r="C48" i="42"/>
  <c r="C76" s="1"/>
  <c r="C32" i="39"/>
  <c r="K174"/>
  <c r="K175" s="1"/>
  <c r="T1115" i="36"/>
  <c r="C965" i="39"/>
  <c r="H77" i="40"/>
  <c r="H149"/>
  <c r="H147"/>
  <c r="D31" i="39"/>
  <c r="H82" i="40"/>
  <c r="C31" i="39"/>
  <c r="G148" i="40"/>
  <c r="G150" s="1"/>
  <c r="G81"/>
  <c r="E11" i="39"/>
  <c r="E941" s="1"/>
  <c r="H25" l="1"/>
  <c r="H956" s="1"/>
  <c r="F48" i="43"/>
  <c r="F74" s="1"/>
  <c r="G959" i="39"/>
  <c r="H28"/>
  <c r="H959" s="1"/>
  <c r="C48" i="43"/>
  <c r="C74" s="1"/>
  <c r="G83" i="40"/>
  <c r="C42" i="39"/>
  <c r="D33"/>
  <c r="C977"/>
  <c r="C967"/>
  <c r="C33"/>
  <c r="I82" i="40"/>
  <c r="I77"/>
  <c r="K179"/>
  <c r="J179"/>
  <c r="I149"/>
  <c r="I147"/>
  <c r="G185"/>
  <c r="D42" i="39"/>
  <c r="H81" i="40"/>
  <c r="I185"/>
  <c r="H148"/>
  <c r="H150" s="1"/>
  <c r="E965" i="39"/>
  <c r="I25" l="1"/>
  <c r="I956" s="1"/>
  <c r="J26"/>
  <c r="J957" s="1"/>
  <c r="I28"/>
  <c r="I959" s="1"/>
  <c r="H965"/>
  <c r="H32"/>
  <c r="H185" i="40"/>
  <c r="H83"/>
  <c r="J82"/>
  <c r="E977" i="39"/>
  <c r="E48" i="43"/>
  <c r="G965" i="39"/>
  <c r="J147" i="40"/>
  <c r="J149"/>
  <c r="I81"/>
  <c r="J77"/>
  <c r="T273" i="36"/>
  <c r="K185" i="40" s="1"/>
  <c r="E184"/>
  <c r="E31" i="39"/>
  <c r="K184" i="40"/>
  <c r="F184"/>
  <c r="I184"/>
  <c r="I148"/>
  <c r="I150" s="1"/>
  <c r="E185"/>
  <c r="J185"/>
  <c r="G184"/>
  <c r="G31" i="39"/>
  <c r="H31"/>
  <c r="H184" i="40"/>
  <c r="G15" i="39"/>
  <c r="C11"/>
  <c r="C941" s="1"/>
  <c r="J25" l="1"/>
  <c r="G945"/>
  <c r="J28"/>
  <c r="J959" s="1"/>
  <c r="I186" i="40"/>
  <c r="I965" i="39"/>
  <c r="I31"/>
  <c r="H186" i="40"/>
  <c r="H967" i="39"/>
  <c r="I83" i="40"/>
  <c r="K186"/>
  <c r="G186"/>
  <c r="F186"/>
  <c r="E186"/>
  <c r="H48" i="42"/>
  <c r="H76" s="1"/>
  <c r="G32" i="39"/>
  <c r="G33" s="1"/>
  <c r="G967"/>
  <c r="T166" i="36"/>
  <c r="T1232"/>
  <c r="T1233" s="1"/>
  <c r="I32" i="39"/>
  <c r="H33"/>
  <c r="H8" i="44"/>
  <c r="O48" i="43"/>
  <c r="G10"/>
  <c r="G36" s="1"/>
  <c r="G48" i="42"/>
  <c r="G76" s="1"/>
  <c r="I48"/>
  <c r="I76" s="1"/>
  <c r="E967" i="39"/>
  <c r="K77" i="40"/>
  <c r="J81"/>
  <c r="K147"/>
  <c r="C18" i="39"/>
  <c r="C949" s="1"/>
  <c r="F31"/>
  <c r="J184" i="40"/>
  <c r="J148"/>
  <c r="J150" s="1"/>
  <c r="H15" i="39"/>
  <c r="H945" s="1"/>
  <c r="K25" l="1"/>
  <c r="K114" i="40"/>
  <c r="T195" i="36"/>
  <c r="K28" i="39"/>
  <c r="K959" s="1"/>
  <c r="J186" i="40"/>
  <c r="J956" i="39"/>
  <c r="J965" s="1"/>
  <c r="J967" s="1"/>
  <c r="I967"/>
  <c r="K82" i="40"/>
  <c r="I33" i="39"/>
  <c r="J31"/>
  <c r="F33"/>
  <c r="J83" i="40"/>
  <c r="J32" i="39"/>
  <c r="C9" i="42"/>
  <c r="C37" s="1"/>
  <c r="C21" i="39"/>
  <c r="E48" i="42"/>
  <c r="E76" s="1"/>
  <c r="E32" i="39"/>
  <c r="E33" s="1"/>
  <c r="H43" i="44"/>
  <c r="S74" i="43"/>
  <c r="C20" i="39"/>
  <c r="C951"/>
  <c r="C969" s="1"/>
  <c r="J48" i="42"/>
  <c r="J76" s="1"/>
  <c r="G11" i="39"/>
  <c r="T1222" i="36"/>
  <c r="K81" i="40"/>
  <c r="H34" i="44"/>
  <c r="D48" i="45"/>
  <c r="D54" s="1"/>
  <c r="E74" i="43"/>
  <c r="O74" s="1"/>
  <c r="O75" s="1"/>
  <c r="K48"/>
  <c r="I15" i="39"/>
  <c r="I945" s="1"/>
  <c r="G941" l="1"/>
  <c r="G951" s="1"/>
  <c r="G953" s="1"/>
  <c r="K118" i="40"/>
  <c r="K117"/>
  <c r="K956" i="39"/>
  <c r="J33"/>
  <c r="K83" i="40"/>
  <c r="C971" i="39"/>
  <c r="C953"/>
  <c r="C36"/>
  <c r="G9" i="42"/>
  <c r="G37" s="1"/>
  <c r="F43" i="44" s="1"/>
  <c r="G21" i="39"/>
  <c r="C22"/>
  <c r="C35"/>
  <c r="H44" i="44"/>
  <c r="K74" i="43"/>
  <c r="P48"/>
  <c r="G20" i="39"/>
  <c r="C10" i="43"/>
  <c r="C36" s="1"/>
  <c r="H11" i="39"/>
  <c r="H941" s="1"/>
  <c r="J15"/>
  <c r="J945" s="1"/>
  <c r="E12"/>
  <c r="E942" s="1"/>
  <c r="T1237" i="36" l="1"/>
  <c r="T1248" s="1"/>
  <c r="T1251" s="1"/>
  <c r="K145" i="40"/>
  <c r="T228" i="36"/>
  <c r="T236" s="1"/>
  <c r="K119" i="40"/>
  <c r="G969" i="39"/>
  <c r="G973" s="1"/>
  <c r="S36" i="43"/>
  <c r="I11" i="39"/>
  <c r="I941" s="1"/>
  <c r="C37"/>
  <c r="H9" i="42"/>
  <c r="H37" s="1"/>
  <c r="H21" i="39"/>
  <c r="O10" i="43"/>
  <c r="G22" i="39"/>
  <c r="P74" i="43"/>
  <c r="U74"/>
  <c r="H46" i="44"/>
  <c r="H47" s="1"/>
  <c r="E20" i="39"/>
  <c r="E951"/>
  <c r="H20"/>
  <c r="H951"/>
  <c r="G35"/>
  <c r="F8" i="44"/>
  <c r="E9" i="45"/>
  <c r="E48" s="1"/>
  <c r="E42" i="39"/>
  <c r="K15"/>
  <c r="K945" s="1"/>
  <c r="F20"/>
  <c r="T1240" i="36" l="1"/>
  <c r="K148" i="40"/>
  <c r="K26" i="39"/>
  <c r="T276" i="36"/>
  <c r="K149" i="40"/>
  <c r="I951" i="39"/>
  <c r="G977"/>
  <c r="E969"/>
  <c r="E953"/>
  <c r="H969"/>
  <c r="H953"/>
  <c r="I20"/>
  <c r="I9" i="42"/>
  <c r="I37" s="1"/>
  <c r="I21" i="39"/>
  <c r="H36"/>
  <c r="H35"/>
  <c r="H22"/>
  <c r="F35"/>
  <c r="F22"/>
  <c r="E35"/>
  <c r="E22"/>
  <c r="J11"/>
  <c r="J941" s="1"/>
  <c r="D36" i="43"/>
  <c r="O36" s="1"/>
  <c r="O37" s="1"/>
  <c r="M10"/>
  <c r="D20" i="39"/>
  <c r="E9" i="42"/>
  <c r="K966" i="39" l="1"/>
  <c r="I35"/>
  <c r="D22"/>
  <c r="K957"/>
  <c r="K965" s="1"/>
  <c r="K31"/>
  <c r="K32"/>
  <c r="K48" i="42"/>
  <c r="K150" i="40"/>
  <c r="I969" i="39"/>
  <c r="I971" s="1"/>
  <c r="I953"/>
  <c r="H973"/>
  <c r="H977" s="1"/>
  <c r="H971"/>
  <c r="I22"/>
  <c r="K11"/>
  <c r="K941" s="1"/>
  <c r="T1195" i="36"/>
  <c r="T1198" s="1"/>
  <c r="J9" i="42"/>
  <c r="J37" s="1"/>
  <c r="J21" i="39"/>
  <c r="I36"/>
  <c r="H37"/>
  <c r="E37" i="42"/>
  <c r="F39" i="39"/>
  <c r="F37"/>
  <c r="D35"/>
  <c r="D37" s="1"/>
  <c r="M36" i="43"/>
  <c r="P10"/>
  <c r="J20" i="39"/>
  <c r="J951"/>
  <c r="T62" i="36"/>
  <c r="F34" i="44"/>
  <c r="J8"/>
  <c r="G971" i="39"/>
  <c r="T1204" i="36" l="1"/>
  <c r="T1210"/>
  <c r="T1199"/>
  <c r="K952" i="39"/>
  <c r="I37"/>
  <c r="K76" i="42"/>
  <c r="M48"/>
  <c r="K967" i="39"/>
  <c r="N48" i="42"/>
  <c r="N76" s="1"/>
  <c r="K33" i="39"/>
  <c r="K951"/>
  <c r="K969" s="1"/>
  <c r="K21"/>
  <c r="I973"/>
  <c r="J969"/>
  <c r="J953"/>
  <c r="K20"/>
  <c r="G36"/>
  <c r="G37" s="1"/>
  <c r="J36"/>
  <c r="D8" i="44"/>
  <c r="D34" s="1"/>
  <c r="F41" i="39"/>
  <c r="F42"/>
  <c r="F9" i="45"/>
  <c r="F48" s="1"/>
  <c r="D39" i="44" s="1"/>
  <c r="G39" i="39"/>
  <c r="J35"/>
  <c r="J22"/>
  <c r="P36" i="43"/>
  <c r="U36"/>
  <c r="F46" i="44"/>
  <c r="F47" s="1"/>
  <c r="F44"/>
  <c r="T278" i="36"/>
  <c r="K9" i="42"/>
  <c r="J34" i="44"/>
  <c r="T1211" i="36" l="1"/>
  <c r="T280"/>
  <c r="K970" i="39"/>
  <c r="K971" s="1"/>
  <c r="P34" i="44"/>
  <c r="N34"/>
  <c r="M76" i="42"/>
  <c r="O76" s="1"/>
  <c r="O48"/>
  <c r="T1108" i="36"/>
  <c r="K953" i="39"/>
  <c r="K22"/>
  <c r="G40"/>
  <c r="G41" s="1"/>
  <c r="G976"/>
  <c r="J973"/>
  <c r="J971"/>
  <c r="I977"/>
  <c r="K35"/>
  <c r="N9" i="42"/>
  <c r="N37" s="1"/>
  <c r="K36" i="39"/>
  <c r="K37" i="42"/>
  <c r="M9"/>
  <c r="M37" s="1"/>
  <c r="L8" i="44"/>
  <c r="L34" s="1"/>
  <c r="G42" i="39"/>
  <c r="F54" i="45"/>
  <c r="D41" i="44"/>
  <c r="H39" i="39"/>
  <c r="G9" i="45"/>
  <c r="G48" s="1"/>
  <c r="L40" i="44" s="1"/>
  <c r="J37" i="39"/>
  <c r="T1093" i="36"/>
  <c r="K974" i="39" l="1"/>
  <c r="T1127" i="36"/>
  <c r="O34" i="44"/>
  <c r="H40" i="39"/>
  <c r="H41" s="1"/>
  <c r="H976"/>
  <c r="K973"/>
  <c r="J977"/>
  <c r="K37"/>
  <c r="O37" i="42"/>
  <c r="O9"/>
  <c r="L41" i="44"/>
  <c r="Q34"/>
  <c r="H42" i="39"/>
  <c r="I39"/>
  <c r="H9" i="45"/>
  <c r="H48" s="1"/>
  <c r="T1107" i="36"/>
  <c r="C975" i="39" l="1"/>
  <c r="K977"/>
  <c r="I40"/>
  <c r="I41" s="1"/>
  <c r="I976"/>
  <c r="C53" i="45"/>
  <c r="C54" s="1"/>
  <c r="I9"/>
  <c r="I48" s="1"/>
  <c r="J39" i="39"/>
  <c r="I42"/>
  <c r="T1109" i="36"/>
  <c r="E971" i="39"/>
  <c r="J40" l="1"/>
  <c r="J41" s="1"/>
  <c r="J976"/>
  <c r="E36"/>
  <c r="E37" s="1"/>
  <c r="J42"/>
  <c r="K39"/>
  <c r="J9" i="45"/>
  <c r="J48" s="1"/>
  <c r="K40" i="39" l="1"/>
  <c r="K41" s="1"/>
  <c r="K976"/>
  <c r="K9" i="45"/>
  <c r="K48" s="1"/>
  <c r="K42" i="39"/>
  <c r="T281" i="36" l="1"/>
  <c r="T1112"/>
  <c r="E975" i="39" l="1"/>
  <c r="E53" i="45"/>
  <c r="E54" s="1"/>
  <c r="T1126" i="36"/>
  <c r="K975" i="39" l="1"/>
  <c r="G975"/>
  <c r="G53" i="45"/>
  <c r="G54" s="1"/>
  <c r="T1128" i="36"/>
  <c r="K53" i="45"/>
  <c r="K54" s="1"/>
  <c r="H975" i="39" l="1"/>
  <c r="H53" i="45"/>
  <c r="H54" s="1"/>
  <c r="I975" i="39" l="1"/>
  <c r="I53" i="45"/>
  <c r="I54" s="1"/>
  <c r="J975" i="39" l="1"/>
  <c r="J53" i="45"/>
  <c r="J54" s="1"/>
</calcChain>
</file>

<file path=xl/sharedStrings.xml><?xml version="1.0" encoding="utf-8"?>
<sst xmlns="http://schemas.openxmlformats.org/spreadsheetml/2006/main" count="3362" uniqueCount="1476">
  <si>
    <t>Description</t>
  </si>
  <si>
    <t>Actual</t>
  </si>
  <si>
    <t>ELECTRIC UTILITY TAX</t>
  </si>
  <si>
    <t>HOTEL TAX</t>
  </si>
  <si>
    <t>CABLE FRANCHISE FEES</t>
  </si>
  <si>
    <t>FEDERAL GRANTS</t>
  </si>
  <si>
    <t>INVESTMENT EARNINGS</t>
  </si>
  <si>
    <t>MISCELLANEOUS INCOME</t>
  </si>
  <si>
    <t>RETIREMENT PLAN CONTRIBUTION</t>
  </si>
  <si>
    <t>FICA CONTRIBUTION</t>
  </si>
  <si>
    <t>PROFESSIONAL SERVICES</t>
  </si>
  <si>
    <t>OFFICE SUPPLIES</t>
  </si>
  <si>
    <t>OPERATING SUPPLIES</t>
  </si>
  <si>
    <t>GROUP HEALTH INSURANCE</t>
  </si>
  <si>
    <t>OVERTIME</t>
  </si>
  <si>
    <t>ECONOMIC DEVELOPMENT</t>
  </si>
  <si>
    <t>SMALL TOOLS &amp; EQUIPMENT</t>
  </si>
  <si>
    <t>UTILITIES</t>
  </si>
  <si>
    <t>BAD DEBT</t>
  </si>
  <si>
    <t>Projected</t>
  </si>
  <si>
    <t>01-000-40-00-4000</t>
  </si>
  <si>
    <t>MUNICIPAL SALES TAX</t>
  </si>
  <si>
    <t>01-000-40-00-4030</t>
  </si>
  <si>
    <t>01-000-40-00-4040</t>
  </si>
  <si>
    <t>01-000-40-00-4041</t>
  </si>
  <si>
    <t>01-000-40-00-4075</t>
  </si>
  <si>
    <t>01-000-40-00-4070</t>
  </si>
  <si>
    <t>01-000-40-00-4065</t>
  </si>
  <si>
    <t>01-000-40-00-4060</t>
  </si>
  <si>
    <t>01-000-40-00-4050</t>
  </si>
  <si>
    <t>01-000-40-00-4045</t>
  </si>
  <si>
    <t>01-000-40-00-4043</t>
  </si>
  <si>
    <t>AUTO RENTAL TAX</t>
  </si>
  <si>
    <t>ADMISSIONS TAX</t>
  </si>
  <si>
    <t>AMUSEMENT TAX</t>
  </si>
  <si>
    <t>TELEPHONE UTILITY TAX</t>
  </si>
  <si>
    <t>NATURAL GAS UTILITY TAX</t>
  </si>
  <si>
    <t>01-000-41-00-4170</t>
  </si>
  <si>
    <t>01-000-41-00-4160</t>
  </si>
  <si>
    <t>01-000-41-00-4120</t>
  </si>
  <si>
    <t>01-000-41-00-4110</t>
  </si>
  <si>
    <t>01-000-41-00-4105</t>
  </si>
  <si>
    <t>01-000-41-00-4100</t>
  </si>
  <si>
    <t>STATE GRANTS</t>
  </si>
  <si>
    <t xml:space="preserve">PERSONAL PROPERTY TAX                       </t>
  </si>
  <si>
    <t xml:space="preserve">STATE INCOME TAX                                       </t>
  </si>
  <si>
    <t>01-000-42-00-4210</t>
  </si>
  <si>
    <t>01-000-42-00-4205</t>
  </si>
  <si>
    <t>01-000-42-00-4200</t>
  </si>
  <si>
    <t>FILING FEES</t>
  </si>
  <si>
    <t>BUILDING PERMITS</t>
  </si>
  <si>
    <t>01-000-43-00-4325</t>
  </si>
  <si>
    <t>01-000-43-00-4320</t>
  </si>
  <si>
    <t>01-000-43-00-4310</t>
  </si>
  <si>
    <t>POLICE TOWS</t>
  </si>
  <si>
    <t>01-000-44-00-4405</t>
  </si>
  <si>
    <t>01-000-44-00-4400</t>
  </si>
  <si>
    <t>DEVELOPMENT FEES</t>
  </si>
  <si>
    <t>GARBAGE SURCHARGE</t>
  </si>
  <si>
    <t>01-000-45-00-4500</t>
  </si>
  <si>
    <t>01-000-46-00-4690</t>
  </si>
  <si>
    <t>01-000-46-00-4680</t>
  </si>
  <si>
    <t>01-000-46-00-4670</t>
  </si>
  <si>
    <t>01-000-46-00-4601</t>
  </si>
  <si>
    <t>REIMB - MISCELLANEOUS</t>
  </si>
  <si>
    <t>REIMB - LEGAL EXPENSES</t>
  </si>
  <si>
    <t>01-000-48-00-4850</t>
  </si>
  <si>
    <t>01-110-50-00-5020</t>
  </si>
  <si>
    <t>01-110-50-00-5005</t>
  </si>
  <si>
    <t>01-110-50-00-5004</t>
  </si>
  <si>
    <t>01-110-50-00-5003</t>
  </si>
  <si>
    <t>01-110-50-00-5002</t>
  </si>
  <si>
    <t>01-110-50-00-5001</t>
  </si>
  <si>
    <t>PART-TIME SALARIES</t>
  </si>
  <si>
    <t>SALARIES - ADMINISTRATION</t>
  </si>
  <si>
    <t>SALARIES - ALDERMAN</t>
  </si>
  <si>
    <t>SALARIES - CITY TREASURER</t>
  </si>
  <si>
    <t>SALARIES - CITY CLERK</t>
  </si>
  <si>
    <t>SALARIES - LIQUOR COMM</t>
  </si>
  <si>
    <t>SALARIES - MAYOR</t>
  </si>
  <si>
    <t>01-110-52-00-5214</t>
  </si>
  <si>
    <t>01-110-52-00-5212</t>
  </si>
  <si>
    <t>01-110-54-00-5480</t>
  </si>
  <si>
    <t>01-110-54-00-5473</t>
  </si>
  <si>
    <t>01-110-54-00-5462</t>
  </si>
  <si>
    <t>01-110-54-00-5452</t>
  </si>
  <si>
    <t>01-110-54-00-5440</t>
  </si>
  <si>
    <t>01-110-54-00-5430</t>
  </si>
  <si>
    <t>01-110-54-00-5426</t>
  </si>
  <si>
    <t>01-110-54-00-5415</t>
  </si>
  <si>
    <t>01-110-54-00-5412</t>
  </si>
  <si>
    <t>RENTAL &amp; LEASE PURCHASE</t>
  </si>
  <si>
    <t>OFFICE CLEANING</t>
  </si>
  <si>
    <t>CODIFICATION</t>
  </si>
  <si>
    <t>POSTAGE &amp; SHIPPING</t>
  </si>
  <si>
    <t>PUBLISHING &amp; ADVERTISING</t>
  </si>
  <si>
    <t>TRAINING &amp; CONFERENCES</t>
  </si>
  <si>
    <t>TUITION REIMBURSEMENT</t>
  </si>
  <si>
    <t>01-110-56-00-5635</t>
  </si>
  <si>
    <t>01-110-56-00-5610</t>
  </si>
  <si>
    <t>CONTINGENCIES</t>
  </si>
  <si>
    <t>WEARING APPAREL</t>
  </si>
  <si>
    <t>01-120-50-00-5010</t>
  </si>
  <si>
    <t>01-120-52-00-5214</t>
  </si>
  <si>
    <t>01-120-52-00-5212</t>
  </si>
  <si>
    <t>01-120-54-00-5485</t>
  </si>
  <si>
    <t>01-120-54-00-5462</t>
  </si>
  <si>
    <t>01-120-54-00-5452</t>
  </si>
  <si>
    <t>01-120-54-00-5440</t>
  </si>
  <si>
    <t>01-120-54-00-5430</t>
  </si>
  <si>
    <t>01-120-54-00-5415</t>
  </si>
  <si>
    <t>01-120-54-00-5412</t>
  </si>
  <si>
    <t>AUDITING SERVICES</t>
  </si>
  <si>
    <t>01-120-56-00-5635</t>
  </si>
  <si>
    <t>01-120-56-00-5610</t>
  </si>
  <si>
    <t>01-210-50-00-5020</t>
  </si>
  <si>
    <t>01-210-50-00-5015</t>
  </si>
  <si>
    <t>01-210-50-00-5014</t>
  </si>
  <si>
    <t>01-210-50-00-5013</t>
  </si>
  <si>
    <t>01-210-50-00-5012</t>
  </si>
  <si>
    <t>SALARIES - CROSSING GUARD</t>
  </si>
  <si>
    <t>SALARIES - POLICE CLERKS</t>
  </si>
  <si>
    <t>SALARIES - POLICE OFFICERS</t>
  </si>
  <si>
    <t>01-210-52-00-5214</t>
  </si>
  <si>
    <t>01-210-52-00-5213</t>
  </si>
  <si>
    <t>01-210-52-00-5212</t>
  </si>
  <si>
    <t>01-210-54-00-5469</t>
  </si>
  <si>
    <t>01-210-54-00-5467</t>
  </si>
  <si>
    <t>01-210-54-00-5466</t>
  </si>
  <si>
    <t>01-210-54-00-5462</t>
  </si>
  <si>
    <t>01-210-54-00-5452</t>
  </si>
  <si>
    <t>01-210-54-00-5440</t>
  </si>
  <si>
    <t>01-210-54-00-5430</t>
  </si>
  <si>
    <t>01-210-54-00-5426</t>
  </si>
  <si>
    <t>01-210-54-00-5415</t>
  </si>
  <si>
    <t>NEW WORLD LIVE SCAN</t>
  </si>
  <si>
    <t>LEGAL SERVICES</t>
  </si>
  <si>
    <t>TRAINING &amp; CONFERENCE</t>
  </si>
  <si>
    <t>01-210-56-00-5696</t>
  </si>
  <si>
    <t>01-210-56-00-5695</t>
  </si>
  <si>
    <t>01-210-56-00-5635</t>
  </si>
  <si>
    <t>01-210-56-00-5620</t>
  </si>
  <si>
    <t>01-210-56-00-5610</t>
  </si>
  <si>
    <t>01-210-56-00-5600</t>
  </si>
  <si>
    <t>AMMUNITION</t>
  </si>
  <si>
    <t>GASOLINE</t>
  </si>
  <si>
    <t>KENDALL CO. JUVE PROBATION</t>
  </si>
  <si>
    <t>01-220-50-00-5010</t>
  </si>
  <si>
    <t>01-220-52-00-5214</t>
  </si>
  <si>
    <t>01-220-52-00-5212</t>
  </si>
  <si>
    <t>01-220-54-00-5466</t>
  </si>
  <si>
    <t>01-220-54-00-5462</t>
  </si>
  <si>
    <t>01-220-54-00-5452</t>
  </si>
  <si>
    <t>01-220-54-00-5440</t>
  </si>
  <si>
    <t>01-220-54-00-5430</t>
  </si>
  <si>
    <t>01-220-54-00-5426</t>
  </si>
  <si>
    <t>01-220-54-00-5415</t>
  </si>
  <si>
    <t>01-220-54-00-5412</t>
  </si>
  <si>
    <t>01-220-56-00-5645</t>
  </si>
  <si>
    <t>01-220-56-00-5635</t>
  </si>
  <si>
    <t>01-220-56-00-5630</t>
  </si>
  <si>
    <t>01-220-56-00-5620</t>
  </si>
  <si>
    <t>01-220-56-00-5610</t>
  </si>
  <si>
    <t>01-410-50-00-5020</t>
  </si>
  <si>
    <t>01-410-50-00-5010</t>
  </si>
  <si>
    <t>01-410-52-00-5214</t>
  </si>
  <si>
    <t>01-410-52-00-5212</t>
  </si>
  <si>
    <t>01-410-54-00-5485</t>
  </si>
  <si>
    <t>01-410-54-00-5480</t>
  </si>
  <si>
    <t>01-410-54-00-5462</t>
  </si>
  <si>
    <t>01-410-54-00-5440</t>
  </si>
  <si>
    <t>01-410-54-00-5412</t>
  </si>
  <si>
    <t>01-410-56-00-5695</t>
  </si>
  <si>
    <t>01-410-56-00-5656</t>
  </si>
  <si>
    <t>01-410-56-00-5626</t>
  </si>
  <si>
    <t>01-410-56-00-5620</t>
  </si>
  <si>
    <t>01-410-56-00-5600</t>
  </si>
  <si>
    <t>MOSQUITO CONTROL</t>
  </si>
  <si>
    <t>HANGING BASKETS</t>
  </si>
  <si>
    <t>SIDEWALK CONSTRUCTION</t>
  </si>
  <si>
    <t>01-540-54-00-5443</t>
  </si>
  <si>
    <t>01-540-54-00-5442</t>
  </si>
  <si>
    <t>LEAF PICKUP</t>
  </si>
  <si>
    <t>GARBAGE SERVICES</t>
  </si>
  <si>
    <t>01-640-52-00-5231</t>
  </si>
  <si>
    <t>01-640-52-00-5230</t>
  </si>
  <si>
    <t>UNEMPLOYMENT INSURANCE</t>
  </si>
  <si>
    <t>GROUP LIFE INSURANCE</t>
  </si>
  <si>
    <t>01-640-54-00-5494</t>
  </si>
  <si>
    <t>01-640-54-00-5493</t>
  </si>
  <si>
    <t>01-640-54-00-5492</t>
  </si>
  <si>
    <t>01-640-54-00-5491</t>
  </si>
  <si>
    <t>01-640-54-00-5475</t>
  </si>
  <si>
    <t>01-640-54-00-5463</t>
  </si>
  <si>
    <t>01-640-54-00-5461</t>
  </si>
  <si>
    <t>SALES TAX REBATE</t>
  </si>
  <si>
    <t>CABLE CONSORTIUM FEE</t>
  </si>
  <si>
    <t>SPECIAL COUNSEL</t>
  </si>
  <si>
    <t>LITIGATION COUNSEL</t>
  </si>
  <si>
    <t>CORPORATE COUNSEL</t>
  </si>
  <si>
    <t>01-640-54-00-5499</t>
  </si>
  <si>
    <t>01-640-70-00-7799</t>
  </si>
  <si>
    <r>
      <t xml:space="preserve">ROAD &amp; BRIDGE TAX                            </t>
    </r>
    <r>
      <rPr>
        <b/>
        <sz val="11"/>
        <rFont val="Times New Roman"/>
        <family val="1"/>
      </rPr>
      <t xml:space="preserve">  </t>
    </r>
  </si>
  <si>
    <t xml:space="preserve">PROPERTY TAXES - CORPORATE LEVY                                  </t>
  </si>
  <si>
    <t xml:space="preserve">PROPERTY TAXES - POLICE PENSION                                    </t>
  </si>
  <si>
    <t>01-000-40-00-4010</t>
  </si>
  <si>
    <t>01-640-99-00-9942</t>
  </si>
  <si>
    <t>01-640-99-00-9952</t>
  </si>
  <si>
    <t>01-640-99-00-9979</t>
  </si>
  <si>
    <t>01-110-54-00-5451</t>
  </si>
  <si>
    <t>01-110-54-00-5488</t>
  </si>
  <si>
    <t>01-120-54-00-5414</t>
  </si>
  <si>
    <t>01-120-54-00-5460</t>
  </si>
  <si>
    <t>01-210-54-00-5410</t>
  </si>
  <si>
    <t>01-210-54-00-5412</t>
  </si>
  <si>
    <t>01-210-54-00-5484</t>
  </si>
  <si>
    <t>01-210-54-00-5460</t>
  </si>
  <si>
    <t>01-220-54-00-5486</t>
  </si>
  <si>
    <t>01-220-54-00-5460</t>
  </si>
  <si>
    <t>01-640-54-00-5456</t>
  </si>
  <si>
    <t>01-640-54-00-5481</t>
  </si>
  <si>
    <t>TRANSFER TO DEBT SERVICE</t>
  </si>
  <si>
    <t>TRANSFER TO WATER</t>
  </si>
  <si>
    <t>TRANSFER TO SEWER</t>
  </si>
  <si>
    <t>TRANSFER FROM SEWER</t>
  </si>
  <si>
    <t>01-000-46-00-4685</t>
  </si>
  <si>
    <t>REIMB - CABLE CONSORTIUM</t>
  </si>
  <si>
    <t>01-210-56-00-5640</t>
  </si>
  <si>
    <t>01-210-54-00-5495</t>
  </si>
  <si>
    <t>01-410-56-00-5640</t>
  </si>
  <si>
    <t xml:space="preserve">LOCAL USE TAX                                              </t>
  </si>
  <si>
    <t>01-000-48-00-4845</t>
  </si>
  <si>
    <t>DONATIONS</t>
  </si>
  <si>
    <t>01-000-41-00-4182</t>
  </si>
  <si>
    <t>MISC INTERGOVERNMENTAL</t>
  </si>
  <si>
    <t>01-210-56-00-5690</t>
  </si>
  <si>
    <t>ADMINISTRATIVE ADJUDICATION</t>
  </si>
  <si>
    <t>REIMB - LIABILITY INSURANCE</t>
  </si>
  <si>
    <t>01-000-48-00-4820</t>
  </si>
  <si>
    <t>RENTAL INCOME</t>
  </si>
  <si>
    <t>TELECOMMUNICATIONS</t>
  </si>
  <si>
    <t>01-410-56-00-5630</t>
  </si>
  <si>
    <t>01-220-54-00-5459</t>
  </si>
  <si>
    <t>INSPECTIONS</t>
  </si>
  <si>
    <t>01-410-54-00-5458</t>
  </si>
  <si>
    <t>LIABILITY INSURANCE</t>
  </si>
  <si>
    <t xml:space="preserve">POLICE COMMISSION </t>
  </si>
  <si>
    <t>01-210-54-00-5411</t>
  </si>
  <si>
    <t>01-410-54-00-5455</t>
  </si>
  <si>
    <t>COMPUTER EQUIPMENT &amp; SOFTWARE</t>
  </si>
  <si>
    <t>01-000-40-00-4080</t>
  </si>
  <si>
    <t>PARA-MUTUEL TAX</t>
  </si>
  <si>
    <t>01-000-44-00-4474</t>
  </si>
  <si>
    <t>POLICE SPECIAL DETAIL</t>
  </si>
  <si>
    <t>01-640-50-00-5092</t>
  </si>
  <si>
    <t>POLICE SPECIAL DETAIL WAGES</t>
  </si>
  <si>
    <t>ADMISSIONS TAX REBATE</t>
  </si>
  <si>
    <t>FY 2013</t>
  </si>
  <si>
    <t>FY 2014</t>
  </si>
  <si>
    <t>01-000-46-00-4681</t>
  </si>
  <si>
    <t>REIMB - WORKERS COMP</t>
  </si>
  <si>
    <t>01-000-46-00-4671</t>
  </si>
  <si>
    <t>REIMB - LIFE INSURANCE</t>
  </si>
  <si>
    <t>01-000-46-00-4669</t>
  </si>
  <si>
    <t>CITY PROPERTY TAX REBATE</t>
  </si>
  <si>
    <t>REIMB - EMPLOYEE INS CONTRIBUTIONS</t>
  </si>
  <si>
    <t>01-640-56-00-5625</t>
  </si>
  <si>
    <t>REIMBURSABLE REPAIRS</t>
  </si>
  <si>
    <t>REIMB - RETIREE INS CONTRIBUTIONS</t>
  </si>
  <si>
    <t>01-210-54-00-5472</t>
  </si>
  <si>
    <t>FY 2015</t>
  </si>
  <si>
    <t>FY 2016</t>
  </si>
  <si>
    <t>FY 2017</t>
  </si>
  <si>
    <t>01-640-54-00-5465</t>
  </si>
  <si>
    <t>ENGINEERING SERVICES</t>
  </si>
  <si>
    <t>01-000-40-00-4035</t>
  </si>
  <si>
    <t>12-112-54-00-5495</t>
  </si>
  <si>
    <t>11-111-54-00-5495</t>
  </si>
  <si>
    <t>15-000-41-00-4112</t>
  </si>
  <si>
    <t xml:space="preserve">MOTOR FUEL TAX </t>
  </si>
  <si>
    <t>15-000-41-00-4113</t>
  </si>
  <si>
    <t>MFT HIGH GROWTH</t>
  </si>
  <si>
    <t>15-000-41-00-4172</t>
  </si>
  <si>
    <t>ILLINOIS JOBS NOW PROCEEDS</t>
  </si>
  <si>
    <t>15-000-45-00-4500</t>
  </si>
  <si>
    <t>TRANSFER FROM GENERAL</t>
  </si>
  <si>
    <t>15-155-56-00-5618</t>
  </si>
  <si>
    <t>SALT</t>
  </si>
  <si>
    <t>15-155-56-00-5619</t>
  </si>
  <si>
    <t>SIGNS</t>
  </si>
  <si>
    <t>15-155-56-00-5632</t>
  </si>
  <si>
    <t>PATCHING</t>
  </si>
  <si>
    <t>15-155-56-00-5633</t>
  </si>
  <si>
    <t>COLD PATCH</t>
  </si>
  <si>
    <t>15-155-56-00-5634</t>
  </si>
  <si>
    <t>HOT PATCH</t>
  </si>
  <si>
    <t>15-155-60-00-6072</t>
  </si>
  <si>
    <t>DOWNTOWN PARKING LOT</t>
  </si>
  <si>
    <t>15-155-60-00-6073</t>
  </si>
  <si>
    <t>GAME FARM ROAD PROJECT</t>
  </si>
  <si>
    <t>15-155-60-00-6079</t>
  </si>
  <si>
    <t>ROUTE 47 EXPANSION</t>
  </si>
  <si>
    <t>16-000-42-00-4214</t>
  </si>
  <si>
    <t>WEATHER WARNING SIREN FEES</t>
  </si>
  <si>
    <t>DUI FINES</t>
  </si>
  <si>
    <t>EQUIPMENT</t>
  </si>
  <si>
    <t>VEHICLES</t>
  </si>
  <si>
    <t>MOWING INCOME</t>
  </si>
  <si>
    <t>TRANSFER FROM PARK &amp; REC CAPITAL</t>
  </si>
  <si>
    <t>INTEREST PAYMENT</t>
  </si>
  <si>
    <t>TRANSFER TO PUBLIC WORKS CAPITAL</t>
  </si>
  <si>
    <t>23-000-42-00-4210</t>
  </si>
  <si>
    <t>ENGINEERING CAPITAL FEE</t>
  </si>
  <si>
    <t>23-000-42-00-4214</t>
  </si>
  <si>
    <t>23-000-42-00-4222</t>
  </si>
  <si>
    <r>
      <t xml:space="preserve">ROAD CONTRIBUTION FEE                            </t>
    </r>
    <r>
      <rPr>
        <b/>
        <sz val="11"/>
        <rFont val="Times New Roman"/>
        <family val="1"/>
      </rPr>
      <t xml:space="preserve"> </t>
    </r>
  </si>
  <si>
    <t>23-000-45-00-4500</t>
  </si>
  <si>
    <t>23-000-49-00-4900</t>
  </si>
  <si>
    <t>BOND PROCEEDS</t>
  </si>
  <si>
    <t>23-230-54-00-5462</t>
  </si>
  <si>
    <t>23-230-60-00-6041</t>
  </si>
  <si>
    <t>23-230-60-00-6073</t>
  </si>
  <si>
    <t>23-230-60-00-6075</t>
  </si>
  <si>
    <t>RIVER ROAD BRIDGE PROJECT</t>
  </si>
  <si>
    <t>23-230-60-00-6092</t>
  </si>
  <si>
    <t>SAFE ROUTE TO SCHOOL PROJECT</t>
  </si>
  <si>
    <t>23-230-97-00-8000</t>
  </si>
  <si>
    <t>42-000-42-00-4208</t>
  </si>
  <si>
    <t>RECAPTURE FEES - WATER &amp; SEWER</t>
  </si>
  <si>
    <t>42-000-49-00-4901</t>
  </si>
  <si>
    <t>42-420-54-00-5498</t>
  </si>
  <si>
    <t>PAYING AGENT FEES</t>
  </si>
  <si>
    <t>42-420-81-00-8000</t>
  </si>
  <si>
    <t>42-420-81-00-8050</t>
  </si>
  <si>
    <t>42-420-82-00-8000</t>
  </si>
  <si>
    <t>42-420-82-00-8050</t>
  </si>
  <si>
    <t xml:space="preserve">PROPERTY TAXES - 2007A BOND             </t>
  </si>
  <si>
    <t>51-000-44-00-4424</t>
  </si>
  <si>
    <t>WATER SALES</t>
  </si>
  <si>
    <t>51-000-44-00-4425</t>
  </si>
  <si>
    <t>BULK WATER SALES</t>
  </si>
  <si>
    <t>51-000-44-00-4430</t>
  </si>
  <si>
    <t>WATER METER SALES</t>
  </si>
  <si>
    <t>51-000-44-00-4440</t>
  </si>
  <si>
    <t>WATER INFRASTRUCTURE FEE</t>
  </si>
  <si>
    <t>51-000-44-00-4450</t>
  </si>
  <si>
    <t>WATER CONNECTION FEES</t>
  </si>
  <si>
    <t>51-000-45-00-4500</t>
  </si>
  <si>
    <t>51-000-48-00-4850</t>
  </si>
  <si>
    <t>51-000-49-00-4952</t>
  </si>
  <si>
    <t>51-510-50-00-5010</t>
  </si>
  <si>
    <t>51-510-50-00-5020</t>
  </si>
  <si>
    <t>51-510-52-00-5212</t>
  </si>
  <si>
    <t>51-510-52-00-5214</t>
  </si>
  <si>
    <t>51-510-54-00-5412</t>
  </si>
  <si>
    <t>51-510-54-00-5415</t>
  </si>
  <si>
    <t>51-510-54-00-5426</t>
  </si>
  <si>
    <t>51-510-54-00-5429</t>
  </si>
  <si>
    <t>WATER SAMPLES</t>
  </si>
  <si>
    <t>51-510-54-00-5430</t>
  </si>
  <si>
    <t>51-510-54-00-5440</t>
  </si>
  <si>
    <t>51-510-54-00-5452</t>
  </si>
  <si>
    <t>51-510-54-00-5460</t>
  </si>
  <si>
    <t>51-510-54-00-5462</t>
  </si>
  <si>
    <t>51-510-54-00-5466</t>
  </si>
  <si>
    <t>51-510-54-00-5480</t>
  </si>
  <si>
    <t>51-510-54-00-5483</t>
  </si>
  <si>
    <t>JULIE SERVICES</t>
  </si>
  <si>
    <t>51-510-54-00-5485</t>
  </si>
  <si>
    <t>51-510-54-00-5499</t>
  </si>
  <si>
    <t>51-510-56-00-5600</t>
  </si>
  <si>
    <t>51-510-56-00-5620</t>
  </si>
  <si>
    <t>51-510-56-00-5630</t>
  </si>
  <si>
    <t>51-510-56-00-5635</t>
  </si>
  <si>
    <t>51-510-56-00-5638</t>
  </si>
  <si>
    <t>TREATMENT FACILITY SUPPLIES</t>
  </si>
  <si>
    <t>51-510-56-00-5640</t>
  </si>
  <si>
    <t>51-510-56-00-5664</t>
  </si>
  <si>
    <t>51-510-56-00-5695</t>
  </si>
  <si>
    <t>51-510-60-00-6079</t>
  </si>
  <si>
    <t>51-510-75-00-7502</t>
  </si>
  <si>
    <t>GRANDE RESERVE COURT ORDER</t>
  </si>
  <si>
    <t>Debt Service - 2007A Bond</t>
  </si>
  <si>
    <t>51-510-83-00-8000</t>
  </si>
  <si>
    <t>51-510-83-00-8050</t>
  </si>
  <si>
    <t>Debt Service - 2002 Capital Appreciation Debt Certificates</t>
  </si>
  <si>
    <t>51-510-85-00-8000</t>
  </si>
  <si>
    <t>Debt Service - 2003 Debt Certificates</t>
  </si>
  <si>
    <t>51-510-86-00-8000</t>
  </si>
  <si>
    <t>51-510-86-00-8050</t>
  </si>
  <si>
    <t>Debt Service - 2006A Refunding Debt Certificates</t>
  </si>
  <si>
    <t>51-510-87-00-8000</t>
  </si>
  <si>
    <t>51-510-87-00-8050</t>
  </si>
  <si>
    <t>Debt Service - 2005C Bond</t>
  </si>
  <si>
    <t>51-510-88-00-8000</t>
  </si>
  <si>
    <t>51-510-88-00-8050</t>
  </si>
  <si>
    <t>Debt Service - IEPA Loan L17-156300</t>
  </si>
  <si>
    <t>51-510-89-00-8000</t>
  </si>
  <si>
    <t>51-510-89-00-8050</t>
  </si>
  <si>
    <t>TRANSFER TO GENERAL</t>
  </si>
  <si>
    <t xml:space="preserve">PROPERTY TAXES - 2004B BOND            </t>
  </si>
  <si>
    <t>52-000-44-00-4435</t>
  </si>
  <si>
    <t>SEWER MAINTENANCE FEES</t>
  </si>
  <si>
    <t>52-000-44-00-4455</t>
  </si>
  <si>
    <t>SW CONNECTION FEES - OPERATIONS</t>
  </si>
  <si>
    <t>52-000-44-00-4456</t>
  </si>
  <si>
    <t>SW CONNECTION FEES - CAPITAL</t>
  </si>
  <si>
    <t>52-000-44-00-4457</t>
  </si>
  <si>
    <t>SW CONNECTION FEES - ROB ROY</t>
  </si>
  <si>
    <t>52-000-44-00-4465</t>
  </si>
  <si>
    <t>RIVER CROSSING FEES</t>
  </si>
  <si>
    <t>52-000-45-00-4500</t>
  </si>
  <si>
    <t>52-000-46-00-4690</t>
  </si>
  <si>
    <t>52-000-49-00-4901</t>
  </si>
  <si>
    <t>52-520-50-00-5010</t>
  </si>
  <si>
    <t>52-520-50-00-5020</t>
  </si>
  <si>
    <t>52-520-52-00-5212</t>
  </si>
  <si>
    <t>52-520-52-00-5214</t>
  </si>
  <si>
    <t>52-520-54-00-5412</t>
  </si>
  <si>
    <t>52-520-54-00-5415</t>
  </si>
  <si>
    <t>52-520-54-00-5440</t>
  </si>
  <si>
    <t>52-520-54-00-5462</t>
  </si>
  <si>
    <t>52-520-54-00-5480</t>
  </si>
  <si>
    <t>52-520-54-00-5485</t>
  </si>
  <si>
    <t>52-520-56-00-5600</t>
  </si>
  <si>
    <t>52-520-56-00-5610</t>
  </si>
  <si>
    <t>52-520-56-00-5613</t>
  </si>
  <si>
    <t>LIFT STATION MAINTENANCE</t>
  </si>
  <si>
    <t>52-520-56-00-5620</t>
  </si>
  <si>
    <t>52-520-56-00-5630</t>
  </si>
  <si>
    <t>52-520-56-00-5635</t>
  </si>
  <si>
    <t>52-520-56-00-5640</t>
  </si>
  <si>
    <t>52-520-56-00-5695</t>
  </si>
  <si>
    <t>52-520-60-00-6079</t>
  </si>
  <si>
    <t>52-520-75-00-7500</t>
  </si>
  <si>
    <t>LENNAR - RAINTREE SEWER RECPATURE</t>
  </si>
  <si>
    <t>Debt Service - 2004B Bond</t>
  </si>
  <si>
    <t>52-520-84-00-8000</t>
  </si>
  <si>
    <t>52-520-84-00-8050</t>
  </si>
  <si>
    <t>52-520-90-00-8000</t>
  </si>
  <si>
    <t>52-520-90-00-8050</t>
  </si>
  <si>
    <t>52-520-91-00-8000</t>
  </si>
  <si>
    <t>52-520-91-00-8050</t>
  </si>
  <si>
    <t>Debt Service - 2011 Refunding Bond</t>
  </si>
  <si>
    <t>Debt Service - IEPA Loan L17-013000</t>
  </si>
  <si>
    <t>52-520-95-00-8000</t>
  </si>
  <si>
    <t>52-520-95-00-8050</t>
  </si>
  <si>
    <t>Debt Service - IEPA Loan L17-115300</t>
  </si>
  <si>
    <t>52-520-96-00-8000</t>
  </si>
  <si>
    <t>52-520-96-00-8050</t>
  </si>
  <si>
    <t>72-000-47-00-4703</t>
  </si>
  <si>
    <t>AUTUMN CREEK</t>
  </si>
  <si>
    <t>72-000-47-00-4704</t>
  </si>
  <si>
    <t>BLACKBERRY WOODS</t>
  </si>
  <si>
    <t>72-000-47-00-4706</t>
  </si>
  <si>
    <t>CALEDONIA</t>
  </si>
  <si>
    <t>72-720-60-00-6032</t>
  </si>
  <si>
    <t>72-720-60-00-6036</t>
  </si>
  <si>
    <t>RAINTREE VILLAGE</t>
  </si>
  <si>
    <t>72-720-60-00-6044</t>
  </si>
  <si>
    <t>72-720-60-00-6045</t>
  </si>
  <si>
    <t>RIVERFRONT PARK</t>
  </si>
  <si>
    <t>PROGRAM FEES</t>
  </si>
  <si>
    <t>79-000-44-00-4441</t>
  </si>
  <si>
    <t>CONCESSION REVENUE</t>
  </si>
  <si>
    <t>HOMETOWN DAYS</t>
  </si>
  <si>
    <t>79-000-45-00-4500</t>
  </si>
  <si>
    <t>79-000-48-00-4820</t>
  </si>
  <si>
    <t>79-000-48-00-4846</t>
  </si>
  <si>
    <t>79-000-48-00-4850</t>
  </si>
  <si>
    <t>79-000-49-00-4901</t>
  </si>
  <si>
    <t>79-790-50-00-5010</t>
  </si>
  <si>
    <t>79-790-50-00-5015</t>
  </si>
  <si>
    <t>79-790-50-00-5020</t>
  </si>
  <si>
    <t>79-790-52-00-5212</t>
  </si>
  <si>
    <t>79-790-52-00-5214</t>
  </si>
  <si>
    <t>79-790-54-00-5412</t>
  </si>
  <si>
    <t>79-790-54-00-5415</t>
  </si>
  <si>
    <t>79-790-54-00-5440</t>
  </si>
  <si>
    <t>79-790-54-00-5462</t>
  </si>
  <si>
    <t>79-790-54-00-5466</t>
  </si>
  <si>
    <t>79-790-54-00-5485</t>
  </si>
  <si>
    <t>79-790-56-00-5600</t>
  </si>
  <si>
    <t>79-790-56-00-5610</t>
  </si>
  <si>
    <t>79-790-56-00-5620</t>
  </si>
  <si>
    <t>79-790-56-00-5630</t>
  </si>
  <si>
    <t>79-790-56-00-5635</t>
  </si>
  <si>
    <t>79-790-56-00-5640</t>
  </si>
  <si>
    <t>CONCESSION WAGES</t>
  </si>
  <si>
    <t>PRE-SCHOOL WAGES</t>
  </si>
  <si>
    <t>INSTRUCTORS WAGES</t>
  </si>
  <si>
    <t>SCHOLARSHIPS</t>
  </si>
  <si>
    <t>PROGRAM REFUNDS</t>
  </si>
  <si>
    <t>HOMETOWN DAYS SUPPLIES</t>
  </si>
  <si>
    <t>PROGRAM SUPPLIES</t>
  </si>
  <si>
    <t>CONCESSION SUPPLIES</t>
  </si>
  <si>
    <t>80-000-44-00-4441</t>
  </si>
  <si>
    <t>80-000-44-00-4444</t>
  </si>
  <si>
    <t>MEMBERSHIP FEES</t>
  </si>
  <si>
    <t>80-000-44-00-4445</t>
  </si>
  <si>
    <t>GUEST FEES</t>
  </si>
  <si>
    <t>80-000-44-00-4446</t>
  </si>
  <si>
    <t>SWIM CLASS FEES</t>
  </si>
  <si>
    <t>80-000-44-00-4447</t>
  </si>
  <si>
    <t>PERSONAL TRAINING FEES</t>
  </si>
  <si>
    <t>80-000-44-00-4448</t>
  </si>
  <si>
    <t>TANNING SESSION FEES</t>
  </si>
  <si>
    <t>80-000-48-00-4820</t>
  </si>
  <si>
    <t>80-000-48-00-4846</t>
  </si>
  <si>
    <t>80-000-48-00-4850</t>
  </si>
  <si>
    <t>80-800-50-00-5010</t>
  </si>
  <si>
    <t>80-800-50-00-5015</t>
  </si>
  <si>
    <t>80-800-50-00-5046</t>
  </si>
  <si>
    <t>80-800-50-00-5052</t>
  </si>
  <si>
    <t>80-800-52-00-5212</t>
  </si>
  <si>
    <t>80-800-52-00-5214</t>
  </si>
  <si>
    <t>80-800-54-00-5440</t>
  </si>
  <si>
    <t>80-800-54-00-5462</t>
  </si>
  <si>
    <t>80-800-54-00-5480</t>
  </si>
  <si>
    <t>80-800-54-00-5485</t>
  </si>
  <si>
    <t>80-800-54-00-5495</t>
  </si>
  <si>
    <t>80-800-54-00-5496</t>
  </si>
  <si>
    <t>80-800-54-00-5497</t>
  </si>
  <si>
    <t>PROPERTY TAX PAYMENT</t>
  </si>
  <si>
    <t>80-800-56-00-5606</t>
  </si>
  <si>
    <t>80-800-56-00-5607</t>
  </si>
  <si>
    <t>80-800-56-00-5610</t>
  </si>
  <si>
    <t>80-800-56-00-5620</t>
  </si>
  <si>
    <t>80-800-56-00-5635</t>
  </si>
  <si>
    <t>80-800-56-00-5640</t>
  </si>
  <si>
    <t>80-800-56-00-5645</t>
  </si>
  <si>
    <t>82-000-41-00-4120</t>
  </si>
  <si>
    <t>82-000-41-00-4170</t>
  </si>
  <si>
    <t>82-000-43-00-4330</t>
  </si>
  <si>
    <t>LIBRARY FINES</t>
  </si>
  <si>
    <t>82-000-44-00-4401</t>
  </si>
  <si>
    <t>LIBRARY SUBSCRIPTION CARDS</t>
  </si>
  <si>
    <t>82-000-44-00-4422</t>
  </si>
  <si>
    <t>COPY FEES</t>
  </si>
  <si>
    <t>82-000-45-00-4500</t>
  </si>
  <si>
    <t>82-000-48-00-4820</t>
  </si>
  <si>
    <t>82-000-48-00-4824</t>
  </si>
  <si>
    <t>DVD RENTAL INCOME</t>
  </si>
  <si>
    <t>82-000-48-00-4832</t>
  </si>
  <si>
    <t>82-000-48-00-4850</t>
  </si>
  <si>
    <t>82-820-50-00-5010</t>
  </si>
  <si>
    <t>82-820-50-00-5015</t>
  </si>
  <si>
    <t>82-820-52-00-5212</t>
  </si>
  <si>
    <t>82-820-52-00-5214</t>
  </si>
  <si>
    <t>82-820-52-00-5216</t>
  </si>
  <si>
    <t>82-820-52-00-5222</t>
  </si>
  <si>
    <t>82-820-52-00-5223</t>
  </si>
  <si>
    <t>82-820-54-00-5412</t>
  </si>
  <si>
    <t>82-820-54-00-5415</t>
  </si>
  <si>
    <t>82-820-54-00-5426</t>
  </si>
  <si>
    <t>82-820-54-00-5440</t>
  </si>
  <si>
    <t>82-820-54-00-5452</t>
  </si>
  <si>
    <t>82-820-54-00-5460</t>
  </si>
  <si>
    <t>82-820-54-00-5462</t>
  </si>
  <si>
    <t>82-820-54-00-5466</t>
  </si>
  <si>
    <t>82-820-54-00-5468</t>
  </si>
  <si>
    <t>AUTOMATION</t>
  </si>
  <si>
    <t>82-820-54-00-5480</t>
  </si>
  <si>
    <t>82-820-54-00-5495</t>
  </si>
  <si>
    <t>82-820-56-00-5610</t>
  </si>
  <si>
    <t>82-820-56-00-5620</t>
  </si>
  <si>
    <t>82-820-56-00-5635</t>
  </si>
  <si>
    <t>82-820-56-00-5640</t>
  </si>
  <si>
    <t>82-820-56-00-5671</t>
  </si>
  <si>
    <t>LIBRARY PROGRAMMING</t>
  </si>
  <si>
    <t>82-820-56-00-5676</t>
  </si>
  <si>
    <t>EMPLOYEE RECOGNITION</t>
  </si>
  <si>
    <t>82-820-56-00-5680</t>
  </si>
  <si>
    <t>ADULT BOOKS</t>
  </si>
  <si>
    <t>82-820-56-00-5681</t>
  </si>
  <si>
    <t>JUVENILE BOOKS</t>
  </si>
  <si>
    <t>82-820-56-00-5682</t>
  </si>
  <si>
    <t>REFERENCE BOOKS</t>
  </si>
  <si>
    <t>82-820-56-00-5683</t>
  </si>
  <si>
    <t>AUDIO BOOKS</t>
  </si>
  <si>
    <t>82-820-56-00-5684</t>
  </si>
  <si>
    <t>82-820-56-00-5685</t>
  </si>
  <si>
    <t>DVD'S</t>
  </si>
  <si>
    <t>82-820-56-00-5698</t>
  </si>
  <si>
    <t>Debt Service - 2005B Bond</t>
  </si>
  <si>
    <t>Debt Service - 2006 Bond</t>
  </si>
  <si>
    <t>Library Debt Service</t>
  </si>
  <si>
    <t>87-000-45-00-4500</t>
  </si>
  <si>
    <t>Countryside TIF</t>
  </si>
  <si>
    <t>87-870-54-00-5498</t>
  </si>
  <si>
    <t>Debt Service - 2005 Bond</t>
  </si>
  <si>
    <t>87-870-80-00-8000</t>
  </si>
  <si>
    <t>87-870-80-00-8050</t>
  </si>
  <si>
    <t>Downtown TIF</t>
  </si>
  <si>
    <t>88-880-60-00-6079</t>
  </si>
  <si>
    <t>Revenue</t>
  </si>
  <si>
    <t>Finance</t>
  </si>
  <si>
    <t>Police</t>
  </si>
  <si>
    <t>Expenditures</t>
  </si>
  <si>
    <t>Surplus(Deficit)</t>
  </si>
  <si>
    <t>Expenses</t>
  </si>
  <si>
    <t>Fund Balance</t>
  </si>
  <si>
    <t>01-640-99-00-9982</t>
  </si>
  <si>
    <t>TRANSFER TO LIBRARY OPERATIONS</t>
  </si>
  <si>
    <t>82-000-49-00-4901</t>
  </si>
  <si>
    <t>83-830-83-00-8000</t>
  </si>
  <si>
    <t>83-830-83-00-8050</t>
  </si>
  <si>
    <t>83-830-84-00-8000</t>
  </si>
  <si>
    <t>83-830-84-00-8050</t>
  </si>
  <si>
    <t>Administration</t>
  </si>
  <si>
    <t>Fund Balance Equiv</t>
  </si>
  <si>
    <t>Recreation Center</t>
  </si>
  <si>
    <t>GENERAL FUND - 01</t>
  </si>
  <si>
    <t>Fox Hill SSA - 11</t>
  </si>
  <si>
    <t>Sunflower SSA - 12</t>
  </si>
  <si>
    <t>Municipal Building - 16</t>
  </si>
  <si>
    <t>City-Wide Capital - 23</t>
  </si>
  <si>
    <t>Debt Service - 42</t>
  </si>
  <si>
    <t>Land Cash - 72</t>
  </si>
  <si>
    <t>Parks and Recreation - 79</t>
  </si>
  <si>
    <t>Water - 51</t>
  </si>
  <si>
    <t>Sewer - 52</t>
  </si>
  <si>
    <t>51-510-52-00-5231</t>
  </si>
  <si>
    <t>52-520-52-00-5231</t>
  </si>
  <si>
    <t>51-510-52-00-5230</t>
  </si>
  <si>
    <t>52-520-52-00-5230</t>
  </si>
  <si>
    <t>01-110-52-00-5216</t>
  </si>
  <si>
    <t>01-110-52-00-5222</t>
  </si>
  <si>
    <t>01-110-52-00-5223</t>
  </si>
  <si>
    <t>01-120-52-00-5216</t>
  </si>
  <si>
    <t>01-120-52-00-5222</t>
  </si>
  <si>
    <t>01-120-52-00-5223</t>
  </si>
  <si>
    <t>01-210-52-00-5216</t>
  </si>
  <si>
    <t>01-210-52-00-5222</t>
  </si>
  <si>
    <t>01-210-52-00-5223</t>
  </si>
  <si>
    <t>01-220-52-00-5216</t>
  </si>
  <si>
    <t>01-220-52-00-5222</t>
  </si>
  <si>
    <t>01-220-52-00-5223</t>
  </si>
  <si>
    <t>01-410-52-00-5216</t>
  </si>
  <si>
    <t>01-410-52-00-5222</t>
  </si>
  <si>
    <t>01-410-52-00-5223</t>
  </si>
  <si>
    <t>51-510-52-00-5216</t>
  </si>
  <si>
    <t>51-510-52-00-5222</t>
  </si>
  <si>
    <t>51-510-52-00-5223</t>
  </si>
  <si>
    <t>52-520-52-00-5216</t>
  </si>
  <si>
    <t>52-520-52-00-5222</t>
  </si>
  <si>
    <t>52-520-52-00-5223</t>
  </si>
  <si>
    <t>79-790-52-00-5216</t>
  </si>
  <si>
    <t>79-790-52-00-5222</t>
  </si>
  <si>
    <t>79-790-52-00-5223</t>
  </si>
  <si>
    <t>80-800-52-00-5216</t>
  </si>
  <si>
    <t>80-800-52-00-5222</t>
  </si>
  <si>
    <t>DENTAL INSURANCE</t>
  </si>
  <si>
    <t>01-110-52-00-5224</t>
  </si>
  <si>
    <t>VISION INSURANCE</t>
  </si>
  <si>
    <t>01-120-52-00-5224</t>
  </si>
  <si>
    <t>01-210-52-00-5224</t>
  </si>
  <si>
    <t>01-220-52-00-5224</t>
  </si>
  <si>
    <t>01-410-52-00-5224</t>
  </si>
  <si>
    <t>51-510-52-00-5224</t>
  </si>
  <si>
    <t>52-520-52-00-5224</t>
  </si>
  <si>
    <t>79-790-52-00-5224</t>
  </si>
  <si>
    <t>82-820-52-00-5224</t>
  </si>
  <si>
    <t>Parks Department</t>
  </si>
  <si>
    <t>Recreation Department</t>
  </si>
  <si>
    <t>51-000-46-00-4670</t>
  </si>
  <si>
    <t>52-000-46-00-4670</t>
  </si>
  <si>
    <t>79-000-46-00-4670</t>
  </si>
  <si>
    <t>82-000-46-00-4670</t>
  </si>
  <si>
    <t>Administrative Services</t>
  </si>
  <si>
    <t>Library Operations</t>
  </si>
  <si>
    <t>Community Development</t>
  </si>
  <si>
    <t>51-000-46-00-4671</t>
  </si>
  <si>
    <t>82-000-46-00-4671</t>
  </si>
  <si>
    <t>TRANSFER FROM LIBRARY OPS</t>
  </si>
  <si>
    <t>Cash Flow - Surplus(Deficit)</t>
  </si>
  <si>
    <t>General</t>
  </si>
  <si>
    <t>Fox Hill</t>
  </si>
  <si>
    <t>Sunflower</t>
  </si>
  <si>
    <t>Water</t>
  </si>
  <si>
    <t>Sewer</t>
  </si>
  <si>
    <t>Land Cash</t>
  </si>
  <si>
    <t>NON-HOME RULE SALES TAX</t>
  </si>
  <si>
    <t>01-220-50-00-5015</t>
  </si>
  <si>
    <t>2004C Bond</t>
  </si>
  <si>
    <t>2005A Bond</t>
  </si>
  <si>
    <t>01-410-54-00-5454</t>
  </si>
  <si>
    <t>SIDEWALK PROGRAM</t>
  </si>
  <si>
    <t>79-795-50-00-5010</t>
  </si>
  <si>
    <t>79-795-50-00-5015</t>
  </si>
  <si>
    <t>79-795-50-00-5020</t>
  </si>
  <si>
    <t>79-795-50-00-5045</t>
  </si>
  <si>
    <t>79-795-50-00-5046</t>
  </si>
  <si>
    <t>79-795-50-00-5052</t>
  </si>
  <si>
    <t>79-795-52-00-5212</t>
  </si>
  <si>
    <t>79-795-52-00-5214</t>
  </si>
  <si>
    <t>79-795-52-00-5216</t>
  </si>
  <si>
    <t>79-795-52-00-5222</t>
  </si>
  <si>
    <t>79-795-52-00-5223</t>
  </si>
  <si>
    <t>79-795-52-00-5224</t>
  </si>
  <si>
    <t>79-795-54-00-5412</t>
  </si>
  <si>
    <t>79-795-54-00-5415</t>
  </si>
  <si>
    <t>79-795-54-00-5426</t>
  </si>
  <si>
    <t>79-795-54-00-5440</t>
  </si>
  <si>
    <t>79-795-54-00-5447</t>
  </si>
  <si>
    <t>79-795-54-00-5452</t>
  </si>
  <si>
    <t>79-795-54-00-5462</t>
  </si>
  <si>
    <t>79-795-54-00-5480</t>
  </si>
  <si>
    <t>79-795-54-00-5485</t>
  </si>
  <si>
    <t>79-795-54-00-5495</t>
  </si>
  <si>
    <t>79-795-54-00-5496</t>
  </si>
  <si>
    <t>79-795-56-00-5602</t>
  </si>
  <si>
    <t>79-795-56-00-5606</t>
  </si>
  <si>
    <t>79-795-56-00-5607</t>
  </si>
  <si>
    <t>79-795-56-00-5610</t>
  </si>
  <si>
    <t>79-795-56-00-5620</t>
  </si>
  <si>
    <t>79-795-56-00-5630</t>
  </si>
  <si>
    <t>79-795-56-00-5635</t>
  </si>
  <si>
    <t>79-795-56-00-5640</t>
  </si>
  <si>
    <t>79-795-56-00-5695</t>
  </si>
  <si>
    <t>SEIZED VEHICLE PROCEEDS</t>
  </si>
  <si>
    <t>OTHER LICENSES &amp; PERMITS</t>
  </si>
  <si>
    <t>01-110-54-00-5485</t>
  </si>
  <si>
    <t>01-210-54-00-5485</t>
  </si>
  <si>
    <t>01-220-54-00-5485</t>
  </si>
  <si>
    <t>11-000-45-00-4500</t>
  </si>
  <si>
    <t>12-000-45-00-4500</t>
  </si>
  <si>
    <t>42-000-45-00-4500</t>
  </si>
  <si>
    <t>51-000-46-00-4690</t>
  </si>
  <si>
    <t>01-000-40-00-4044</t>
  </si>
  <si>
    <t>23-230-60-00-6094</t>
  </si>
  <si>
    <t>KENCOM</t>
  </si>
  <si>
    <t>01-640-54-00-5449</t>
  </si>
  <si>
    <t>88-880-54-00-5466</t>
  </si>
  <si>
    <t>88-880-60-00-6000</t>
  </si>
  <si>
    <t>PROJECT COSTS</t>
  </si>
  <si>
    <t>72-000-41-00-4173</t>
  </si>
  <si>
    <t>72-000-41-00-4174</t>
  </si>
  <si>
    <t>72-000-41-00-4175</t>
  </si>
  <si>
    <t>01-640-54-00-5450</t>
  </si>
  <si>
    <t>INFORMATION TECHNOLOGY SERVICES</t>
  </si>
  <si>
    <t>GRANDE RESERVE PARK A</t>
  </si>
  <si>
    <t>GRANDE RESERVE PARK B</t>
  </si>
  <si>
    <t>72-720-60-00-6046</t>
  </si>
  <si>
    <t>72-720-60-00-6047</t>
  </si>
  <si>
    <t>79-000-48-00-4825</t>
  </si>
  <si>
    <t>79-790-54-00-5495</t>
  </si>
  <si>
    <t>88-000-45-00-4500</t>
  </si>
  <si>
    <t>23-000-41-00-4176</t>
  </si>
  <si>
    <t>83-000-45-00-4500</t>
  </si>
  <si>
    <t>84-000-45-00-4500</t>
  </si>
  <si>
    <t>82-820-52-00-5231</t>
  </si>
  <si>
    <t>CITY</t>
  </si>
  <si>
    <t>Park &amp; Recreation</t>
  </si>
  <si>
    <t xml:space="preserve">Park &amp; Rec </t>
  </si>
  <si>
    <t>Rec Ctr</t>
  </si>
  <si>
    <t>Library</t>
  </si>
  <si>
    <t>Library Ops</t>
  </si>
  <si>
    <t>01-220-56-00-5695</t>
  </si>
  <si>
    <t>OSLAD GRANT - RAINTREE</t>
  </si>
  <si>
    <t>42-420-98-00-8000</t>
  </si>
  <si>
    <t>42-420-98-00-8050</t>
  </si>
  <si>
    <t>79-000-46-00-4690</t>
  </si>
  <si>
    <t>01-640-54-00-5462</t>
  </si>
  <si>
    <t>52-520-54-00-5430</t>
  </si>
  <si>
    <t>51-510-60-00-6060</t>
  </si>
  <si>
    <t>Liability Insurance</t>
  </si>
  <si>
    <t>Unemployment Ins</t>
  </si>
  <si>
    <t>Health Insurance</t>
  </si>
  <si>
    <t>Dental Insurance</t>
  </si>
  <si>
    <t>Vision Insurance</t>
  </si>
  <si>
    <t>82-820-52-00-5230</t>
  </si>
  <si>
    <t>Debt Service</t>
  </si>
  <si>
    <t>51-510-54-00-5498</t>
  </si>
  <si>
    <t>52-520-54-00-5499</t>
  </si>
  <si>
    <t>52-520-54-00-5498</t>
  </si>
  <si>
    <t>51-510-54-00-5448</t>
  </si>
  <si>
    <t>HOTEL TAX REBATE</t>
  </si>
  <si>
    <t>01-000-46-00-4604</t>
  </si>
  <si>
    <t>REIMB - ENGINEERING EXPENSES</t>
  </si>
  <si>
    <t>01-110-54-00-5448</t>
  </si>
  <si>
    <t>82-820-54-00-5498</t>
  </si>
  <si>
    <t>82-820-99-00-9983</t>
  </si>
  <si>
    <t>TRANSFER TO LIBRARY DEBT SERVICE</t>
  </si>
  <si>
    <t>83-000-49-00-4982</t>
  </si>
  <si>
    <t>Non-Abatement of Debt Service</t>
  </si>
  <si>
    <t>23-000-41-00-4178</t>
  </si>
  <si>
    <t>Budget</t>
  </si>
  <si>
    <t xml:space="preserve">DEVELOPMENT FEES </t>
  </si>
  <si>
    <t>84-000-42-00-4214</t>
  </si>
  <si>
    <t>01-410-54-00-5446</t>
  </si>
  <si>
    <t>PROPERTY &amp; BLDG MAINT SERVICES</t>
  </si>
  <si>
    <t>PROPERTY &amp; BLDG MAINT SUPPLIES</t>
  </si>
  <si>
    <t>51-510-54-00-5445</t>
  </si>
  <si>
    <t>TREATMENT FACILITY SERVICES</t>
  </si>
  <si>
    <t>52-520-54-00-5444</t>
  </si>
  <si>
    <t>LIFT STATION SERVICES</t>
  </si>
  <si>
    <t>01-110-52-00-5235</t>
  </si>
  <si>
    <t>01-110-52-00-5236</t>
  </si>
  <si>
    <t>01-110-52-00-5237</t>
  </si>
  <si>
    <t>01-110-52-00-5238</t>
  </si>
  <si>
    <t>01-540-54-00-5441</t>
  </si>
  <si>
    <t>GARBAGE SERVICES - SENIOR SUBSIDY</t>
  </si>
  <si>
    <t>01-210-50-00-5011</t>
  </si>
  <si>
    <t>SALARIES - POLICE CHIEF &amp; DEPUTIES</t>
  </si>
  <si>
    <t>SALARIES - SERGEANTS</t>
  </si>
  <si>
    <t>.</t>
  </si>
  <si>
    <t>MDT - ALERTS FEE</t>
  </si>
  <si>
    <t>01-210-56-00-5650</t>
  </si>
  <si>
    <t>COMMUNITY SERVICES</t>
  </si>
  <si>
    <t>OFFENDER REGISTRATION FEES</t>
  </si>
  <si>
    <t>ELECTED OFFICIAL - GROUP HEALTH INSURANCE</t>
  </si>
  <si>
    <t>ELECTED OFFICIAL - GROUP LIFE INSURANCE</t>
  </si>
  <si>
    <t>ELECTED OFFICIAL - DENTAL INSURANCE</t>
  </si>
  <si>
    <t>ELECTED OFFICIAL - VISION INSURANCE</t>
  </si>
  <si>
    <t>Motor Fuel Tax</t>
  </si>
  <si>
    <t>Municipal Bldg</t>
  </si>
  <si>
    <t>Police Capital</t>
  </si>
  <si>
    <t>City Wide Capital</t>
  </si>
  <si>
    <t>City</t>
  </si>
  <si>
    <t>EE Ins Contributions</t>
  </si>
  <si>
    <t>Net Ins Costs</t>
  </si>
  <si>
    <t>Retiree Contri</t>
  </si>
  <si>
    <t>Lib</t>
  </si>
  <si>
    <t>01-640-52-00-5240</t>
  </si>
  <si>
    <t>01-640-52-00-5241</t>
  </si>
  <si>
    <t>01-640-52-00-5242</t>
  </si>
  <si>
    <t>RETIREES - GROUP HEALTH INSURANCE</t>
  </si>
  <si>
    <t>RETIREES - DENTAL INSURANCE</t>
  </si>
  <si>
    <t>RETIREES - VISION INSURANCE</t>
  </si>
  <si>
    <t>GENERAL FUND (01)</t>
  </si>
  <si>
    <t xml:space="preserve">The General Fund is the City’s primary operating fund.  It accounts for major tax revenue used to support administrative and public safety functions.    </t>
  </si>
  <si>
    <t>Adopted</t>
  </si>
  <si>
    <t xml:space="preserve">Revenue </t>
  </si>
  <si>
    <t>Taxes</t>
  </si>
  <si>
    <t>Intergovernmental</t>
  </si>
  <si>
    <t>Licenses &amp; Permits</t>
  </si>
  <si>
    <t>Fines &amp; Forfeits</t>
  </si>
  <si>
    <t>Charges for Service</t>
  </si>
  <si>
    <t>Investment Earnings</t>
  </si>
  <si>
    <t>Reimbursements</t>
  </si>
  <si>
    <t>Miscellaneous</t>
  </si>
  <si>
    <t>Other Financing Sources</t>
  </si>
  <si>
    <t>Total Revenue</t>
  </si>
  <si>
    <t>Salaries</t>
  </si>
  <si>
    <t>Benefits</t>
  </si>
  <si>
    <t>Contractual Services</t>
  </si>
  <si>
    <t>Supplies</t>
  </si>
  <si>
    <t>Capital Outlay</t>
  </si>
  <si>
    <t>Contingencies</t>
  </si>
  <si>
    <t>Other Financing Uses</t>
  </si>
  <si>
    <t>Total Expenditures</t>
  </si>
  <si>
    <t>Surplus (Deficit)</t>
  </si>
  <si>
    <t>Ending Fund Balance</t>
  </si>
  <si>
    <t>Fox Hill SSA Fund (11)</t>
  </si>
  <si>
    <t>This fund was created for the purpose of maintaining the common areas of the Fox Hill Estates (SSA 2004-201) subdivision.  All money for the fund is derived from property taxes levied on homeowners in the subdivision.</t>
  </si>
  <si>
    <t>Sunflower SSA Fund (12)</t>
  </si>
  <si>
    <t>This fund was created for the purpose of maintaining the common areas of the Sunflower Estates (SSA 2006-119) subdivision.  All money for the fund is derived from property taxes levied on homeowners in the subdivision.</t>
  </si>
  <si>
    <t>Motor Fuel Tax Fund (15)</t>
  </si>
  <si>
    <t>Municipal Building Fund (16)</t>
  </si>
  <si>
    <t>City-Wide Capital Fund (23)</t>
  </si>
  <si>
    <t>Debt Service Fund (42)</t>
  </si>
  <si>
    <t>Water Fund (51)</t>
  </si>
  <si>
    <t xml:space="preserve">The Water Fund is an enterprise fund which is comprised of both a capital and operational budget. The capital portion is used for the improvement and expansion of water infrastructure, while the operational side is used to service and maintain City water systems.   </t>
  </si>
  <si>
    <t>Developer Commitments</t>
  </si>
  <si>
    <t>Total Expenses</t>
  </si>
  <si>
    <t>Ending Fund Balance Equivalent</t>
  </si>
  <si>
    <t>Sewer Fund (52)</t>
  </si>
  <si>
    <t>The Sewer Fund is an enterprise fund which is comprised of both a capital and operational budget.  The capital portion is used for improvement and expansion of the sanitary sewer infrastructure while the operational side allows the City to service and maintain sanitary sewer systems.</t>
  </si>
  <si>
    <t>Land Cash Fund (72)</t>
  </si>
  <si>
    <t xml:space="preserve">Land-Cash funds are dedicated by developers through the contribution ordinance to serve the immediate and future needs of park and recreation of residents in new subdivisions. Land for park development and cash spent on recreational facilities is often matched through grant funding to meet the community’s recreation needs at a lower cost to the City. </t>
  </si>
  <si>
    <t>Land Cash Contributions</t>
  </si>
  <si>
    <t>Parks and Recreation Fund (79)</t>
  </si>
  <si>
    <t>This fund accounts for the daily operations of the  Parks and Recreation Department.  Programs, classes, special events and maintenance of City wide park land and public facilities make up the day to day operations.  Programs and classes consist of a wide variety of options serving children through senior citizens.  Special events range from Music Under the Stars to Home Town Days.  City wide maintenance consists of over two hundred acres at more than fifty sites including buildings, boulevards, parks, utility locations and natural areas.</t>
  </si>
  <si>
    <t>Recreation Center Fund (80)</t>
  </si>
  <si>
    <t>Library Operations Fund (82)</t>
  </si>
  <si>
    <t>The Yorkville Public Library provides the people of the community, from pre-school through maturity, with access to a collection of books and other materials which will serve their educational, cultural and recreational needs.  The Library board and staff strive to provide the community an environment that promotes the love of reading.</t>
  </si>
  <si>
    <t>Library Debt Service Fund (83)</t>
  </si>
  <si>
    <t>Library Capital Fund (84)</t>
  </si>
  <si>
    <t>Countryside TIF Fund (87)</t>
  </si>
  <si>
    <t>The Countryside TIF was created in February of 2005, with the intent of constructing a future retail development at Countryside Center.  This TIF is located at the northwest corner of US Route 34 and IL Route 47.</t>
  </si>
  <si>
    <t>Downtown TIF Fund (88)</t>
  </si>
  <si>
    <t>The Downtown TIF was created in 2006, in order to finance a mixed use development in the downtown area.</t>
  </si>
  <si>
    <t>ADMINISTRATION DEPARTMENT</t>
  </si>
  <si>
    <t>Total Administration</t>
  </si>
  <si>
    <t>FINANCE DEPARTMENT</t>
  </si>
  <si>
    <t>POLICE DEPARTMENT</t>
  </si>
  <si>
    <t>COMMUNITY DEVELOPMENT DEPARTMENT</t>
  </si>
  <si>
    <t>The primary focus of the Community Development Department is to ensure that all existing and new construction is consistent with the overall development goals of the City which entails short and long-range planning, administration of zoning regulations, building permits issuance and code enforcement. The department also provides staff support to the City Council, Plan Commission, Zoning Board of Appeals and Park Board and assists in the review of all development plans proposed within the United City of Yorkville.</t>
  </si>
  <si>
    <t>Total Community Development</t>
  </si>
  <si>
    <t>The Public Works Department is an integral part of the United City of Yorkville.  We provide high quality drinking water, efficient disposal of sanitary waste and maintain a comprehensive road and storm sewer network to ensure the safety and quality of life for the citizens of Yorkville.</t>
  </si>
  <si>
    <t>ADMINISTRATIVE SERVICES DEPARTMENT</t>
  </si>
  <si>
    <t>United City of Yorkville</t>
  </si>
  <si>
    <t>Revenue Budget Summary - All Funds</t>
  </si>
  <si>
    <t>FUND</t>
  </si>
  <si>
    <t>General Fund</t>
  </si>
  <si>
    <t>Special Revenue Funds</t>
  </si>
  <si>
    <t>Parks and Recreation</t>
  </si>
  <si>
    <t>Fox Hill SSA</t>
  </si>
  <si>
    <t>Sunflower SSA</t>
  </si>
  <si>
    <t>Debt Service Fund</t>
  </si>
  <si>
    <t>Capital Project Funds</t>
  </si>
  <si>
    <t>Municipal Building</t>
  </si>
  <si>
    <t>Public Works Capital</t>
  </si>
  <si>
    <t>City-Wide Capital</t>
  </si>
  <si>
    <t>Enterprise Funds</t>
  </si>
  <si>
    <t>Library Funds</t>
  </si>
  <si>
    <t>Library Capital</t>
  </si>
  <si>
    <t>Expenditure Budget Summary - All Funds</t>
  </si>
  <si>
    <t>Library Fund</t>
  </si>
  <si>
    <t>Revenues by Category</t>
  </si>
  <si>
    <t xml:space="preserve">Other </t>
  </si>
  <si>
    <t>Inter-</t>
  </si>
  <si>
    <t>Licenses &amp;</t>
  </si>
  <si>
    <t>Fines &amp;</t>
  </si>
  <si>
    <t xml:space="preserve">Charges </t>
  </si>
  <si>
    <t>Investment</t>
  </si>
  <si>
    <t>Reimb-</t>
  </si>
  <si>
    <t>Miscel-</t>
  </si>
  <si>
    <t>Land</t>
  </si>
  <si>
    <t xml:space="preserve">Financing </t>
  </si>
  <si>
    <t>Fund</t>
  </si>
  <si>
    <t>governmental</t>
  </si>
  <si>
    <t>Permits</t>
  </si>
  <si>
    <t>Forfeits</t>
  </si>
  <si>
    <t>for Services</t>
  </si>
  <si>
    <t>Earnings</t>
  </si>
  <si>
    <t>ursements</t>
  </si>
  <si>
    <t>laneous</t>
  </si>
  <si>
    <t>Cash</t>
  </si>
  <si>
    <t>Sources</t>
  </si>
  <si>
    <t>Total</t>
  </si>
  <si>
    <t>Expenditures by Category</t>
  </si>
  <si>
    <t>Contractual</t>
  </si>
  <si>
    <t>Capital</t>
  </si>
  <si>
    <t>Debt</t>
  </si>
  <si>
    <t>Financing</t>
  </si>
  <si>
    <t>Services</t>
  </si>
  <si>
    <t>Outlay</t>
  </si>
  <si>
    <t>Service</t>
  </si>
  <si>
    <t>Uses</t>
  </si>
  <si>
    <t>Fund Balance Summary</t>
  </si>
  <si>
    <t>Beginning</t>
  </si>
  <si>
    <t>Budgeted</t>
  </si>
  <si>
    <t xml:space="preserve">Budgeted </t>
  </si>
  <si>
    <t>Surplus</t>
  </si>
  <si>
    <t>Ending</t>
  </si>
  <si>
    <t>Revenues</t>
  </si>
  <si>
    <t>(Deficit)</t>
  </si>
  <si>
    <t>Totals</t>
  </si>
  <si>
    <t xml:space="preserve">Fund Balance History </t>
  </si>
  <si>
    <t>Enterprise Funds *</t>
  </si>
  <si>
    <t>*</t>
  </si>
  <si>
    <t xml:space="preserve">Full Time </t>
  </si>
  <si>
    <t>Overtime</t>
  </si>
  <si>
    <t>Part Time</t>
  </si>
  <si>
    <t>16-000-42-00-4216</t>
  </si>
  <si>
    <t>BUILD PROGRAM</t>
  </si>
  <si>
    <t>16-160-54-00-5405</t>
  </si>
  <si>
    <t>51-000-42-00-4216</t>
  </si>
  <si>
    <t>51-510-54-00-5405</t>
  </si>
  <si>
    <t>52-000-42-00-4216</t>
  </si>
  <si>
    <t>52-520-54-00-5405</t>
  </si>
  <si>
    <t>Motor Fuel Tax  - 15</t>
  </si>
  <si>
    <t>Cash Flow - Fund Balance</t>
  </si>
  <si>
    <t>TOTAL REVENUES</t>
  </si>
  <si>
    <t>TOTAL EXPENDITURES</t>
  </si>
  <si>
    <t>52-520-92-00-8000</t>
  </si>
  <si>
    <t>52-520-92-00-8050</t>
  </si>
  <si>
    <t xml:space="preserve">KENNEDY RD BIKE TRAIL </t>
  </si>
  <si>
    <t>PARK RENTALS</t>
  </si>
  <si>
    <t>51-000-48-00-4820</t>
  </si>
  <si>
    <t xml:space="preserve">RENTAL INCOME </t>
  </si>
  <si>
    <t>2002 Fox Industrial TIF Bond</t>
  </si>
  <si>
    <t>52-520-99-00-9951</t>
  </si>
  <si>
    <t>23-000-49-00-4905</t>
  </si>
  <si>
    <t>Kendall County Loan - River Road Bridge</t>
  </si>
  <si>
    <t>Route 47 Expansion Project</t>
  </si>
  <si>
    <t>ELECTRONIC CITATION FEES</t>
  </si>
  <si>
    <t>TRANSFER TO LAND CASH</t>
  </si>
  <si>
    <t>84-840-56-00-5683</t>
  </si>
  <si>
    <t>84-840-56-00-5684</t>
  </si>
  <si>
    <t>84-840-56-00-5685</t>
  </si>
  <si>
    <t>84-840-56-00-5635</t>
  </si>
  <si>
    <t>BOOKS</t>
  </si>
  <si>
    <t>84-840-56-00-5686</t>
  </si>
  <si>
    <t>23-000-42-00-4216</t>
  </si>
  <si>
    <t>BUILD PROGRAM PERMITS</t>
  </si>
  <si>
    <t>23-230-54-00-5405</t>
  </si>
  <si>
    <t>79-000-44-00-4402</t>
  </si>
  <si>
    <t>SPECIAL EVENTS</t>
  </si>
  <si>
    <t>79-000-44-00-4403</t>
  </si>
  <si>
    <t>CHILD DEVELOPMENT</t>
  </si>
  <si>
    <t>79-000-44-00-4404</t>
  </si>
  <si>
    <t>MFT</t>
  </si>
  <si>
    <t>79-790-56-00-5695</t>
  </si>
  <si>
    <t>FY 2018</t>
  </si>
  <si>
    <t>CIRCUIT COURT FINES</t>
  </si>
  <si>
    <t>Total Finance</t>
  </si>
  <si>
    <t xml:space="preserve">Total Police </t>
  </si>
  <si>
    <t xml:space="preserve">Total Public Works </t>
  </si>
  <si>
    <t>Total Admin Services &amp; Transfers</t>
  </si>
  <si>
    <t xml:space="preserve">Library Capital </t>
  </si>
  <si>
    <t>SALARIES &amp; WAGES</t>
  </si>
  <si>
    <t>01-110-50-00-5015</t>
  </si>
  <si>
    <t>EXCISE TAX</t>
  </si>
  <si>
    <t>23-230-60-00-6058</t>
  </si>
  <si>
    <t xml:space="preserve">US 34 (IL 47 / ORCHARD RD) PROJECT </t>
  </si>
  <si>
    <t>23-230-60-00-6059</t>
  </si>
  <si>
    <t>RTP GRANT - CLARK PARK</t>
  </si>
  <si>
    <t>CLARK PARK</t>
  </si>
  <si>
    <t>79-000-48-00-4843</t>
  </si>
  <si>
    <t>TRANSFER TO PARKS &amp; RECREATION</t>
  </si>
  <si>
    <t>16-000-49-00-4901</t>
  </si>
  <si>
    <t>01-640-99-00-9916</t>
  </si>
  <si>
    <t>TRANSFER TO MUNICIPAL BUILDING</t>
  </si>
  <si>
    <t>23-000-42-00-4218</t>
  </si>
  <si>
    <t>DEVELOPMENT FEES - MUNICIPAL BLDG</t>
  </si>
  <si>
    <t>Vehicle &amp; Equipment - 25</t>
  </si>
  <si>
    <t>DEVELOPMENT FEES - POLICE CAPITAL</t>
  </si>
  <si>
    <t>DEVELOPMENT FEES - PW CAPITAL</t>
  </si>
  <si>
    <t>25-205-54-00-5462</t>
  </si>
  <si>
    <t>25-205-54-00-5495</t>
  </si>
  <si>
    <t>25-205-60-00-6060</t>
  </si>
  <si>
    <t>25-205-60-00-6070</t>
  </si>
  <si>
    <t>25-215-54-00-5405</t>
  </si>
  <si>
    <t>25-215-54-00-5448</t>
  </si>
  <si>
    <t>25-215-54-00-5485</t>
  </si>
  <si>
    <t>25-215-56-00-5620</t>
  </si>
  <si>
    <t>25-215-60-00-6060</t>
  </si>
  <si>
    <t>25-215-60-00-6070</t>
  </si>
  <si>
    <t>25-215-92-00-8000</t>
  </si>
  <si>
    <t>25-215-92-00-8050</t>
  </si>
  <si>
    <t>25-225-60-00-6060</t>
  </si>
  <si>
    <t>25-225-99-00-9921</t>
  </si>
  <si>
    <t>25-225-99-00-9972</t>
  </si>
  <si>
    <t>25-225-92-00-8000</t>
  </si>
  <si>
    <t>25-225-92-00-8050</t>
  </si>
  <si>
    <t>Vehicle &amp; Equipment</t>
  </si>
  <si>
    <t>Vehicle and Equipment Fund (25)</t>
  </si>
  <si>
    <t>72-000-49-00-4925</t>
  </si>
  <si>
    <t>TRANSFER FROM VEHICLE &amp; EQUIPMENT</t>
  </si>
  <si>
    <t>Police Capital Expenditures</t>
  </si>
  <si>
    <t>Public Works Capital Expenditures</t>
  </si>
  <si>
    <t>Police Capital Fund Balance</t>
  </si>
  <si>
    <t>Public Works Capital Fund Balance</t>
  </si>
  <si>
    <t>City-Wide Capital Expenditures</t>
  </si>
  <si>
    <t>Sub-Total Expenditures</t>
  </si>
  <si>
    <t>Total Public Works</t>
  </si>
  <si>
    <t>Account Number</t>
  </si>
  <si>
    <t>City-Wide Capital Fund Balance</t>
  </si>
  <si>
    <t>185 Wolf Street Building</t>
  </si>
  <si>
    <t>Parks &amp; Recreation Capital</t>
  </si>
  <si>
    <t>Fund Balance Equivalent</t>
  </si>
  <si>
    <t>87-870-54-00-5425</t>
  </si>
  <si>
    <t>01-110-54-00-5460</t>
  </si>
  <si>
    <t>15-155-54-00-5438</t>
  </si>
  <si>
    <t>SALT STORAGE</t>
  </si>
  <si>
    <t>84-840-54-00-5460</t>
  </si>
  <si>
    <t>DEVELOPMENT FEES - PARK CAPITAL</t>
  </si>
  <si>
    <t>MISCELLANEOUS INCOME - PW CAPITAL</t>
  </si>
  <si>
    <t>INVESTMENT EARNINGS - PW CAPITAL</t>
  </si>
  <si>
    <t>INVESTMENT EARNINGS - PARK CAPITAL</t>
  </si>
  <si>
    <t>REIMB - MISCELLANEOUS - PARK CAPITAL</t>
  </si>
  <si>
    <t>INVESTMENT EARNINGS - POLICE CAPITAL</t>
  </si>
  <si>
    <t>MISCELLANEOUS INCOME - POLICE CAPITAL</t>
  </si>
  <si>
    <t>LATE PENALTIES - GARBAGE</t>
  </si>
  <si>
    <t>15-000-46-00-4690</t>
  </si>
  <si>
    <t>LATE PENALTIES - SEWER</t>
  </si>
  <si>
    <t>72-000-47-00-4708</t>
  </si>
  <si>
    <t>COUNTRY HILLS</t>
  </si>
  <si>
    <t>LATE PENALTIES - WATER</t>
  </si>
  <si>
    <t>01-410-54-00-5490</t>
  </si>
  <si>
    <t>VEHICLE MAINTENANCE SERVICES</t>
  </si>
  <si>
    <t>01-410-56-00-5628</t>
  </si>
  <si>
    <t>VEHICLE MAINTENANCE SUPPLIES</t>
  </si>
  <si>
    <t>51-510-54-00-5490</t>
  </si>
  <si>
    <t>51-510-56-00-5628</t>
  </si>
  <si>
    <t>52-520-54-00-5490</t>
  </si>
  <si>
    <t>52-520-56-00-5628</t>
  </si>
  <si>
    <t>51-510-60-00-6070</t>
  </si>
  <si>
    <t>15-155-60-00-6003</t>
  </si>
  <si>
    <t>MATERIAL STORAGE BLDG CONSTRUCTION</t>
  </si>
  <si>
    <t>15-155-60-00-6025</t>
  </si>
  <si>
    <t>15-155-60-00-6089</t>
  </si>
  <si>
    <t>CANNONBALL LAFO PROJECT</t>
  </si>
  <si>
    <t>01-410-54-00-5435</t>
  </si>
  <si>
    <t>TRAFFIC SIGNAL MAINTENANCE</t>
  </si>
  <si>
    <t>ADJUDICATION SERVICES</t>
  </si>
  <si>
    <t>79-795-54-00-5497</t>
  </si>
  <si>
    <t>80-000-49-00-4979</t>
  </si>
  <si>
    <t>TRANSFER FROM PARKS &amp; REC</t>
  </si>
  <si>
    <t>79-795-99-00-9980</t>
  </si>
  <si>
    <t>TRANSFER TO RECREATION CENTER</t>
  </si>
  <si>
    <t>Fund Balance - Police Capital</t>
  </si>
  <si>
    <t>Fund Balance - Public Works Capital</t>
  </si>
  <si>
    <t>Fund Balance - Parks &amp; Rec Capital</t>
  </si>
  <si>
    <t>12-112-54-00-5416</t>
  </si>
  <si>
    <t>POND MAINTENANCE</t>
  </si>
  <si>
    <t>TRAIL MAINTENANCE</t>
  </si>
  <si>
    <t>11-111-54-00-5417</t>
  </si>
  <si>
    <t>FY 2019</t>
  </si>
  <si>
    <t>01-210-54-00-5422</t>
  </si>
  <si>
    <t>VEHICLE &amp; EQUIPMENT CHARGEBACK</t>
  </si>
  <si>
    <t>POLICE CHARGEBACK</t>
  </si>
  <si>
    <t>52-520-60-00-6070</t>
  </si>
  <si>
    <t>PUBLIC WORKS CHARGEBACK</t>
  </si>
  <si>
    <t>01-410-54-00-5422</t>
  </si>
  <si>
    <t>01-640-54-00-5439</t>
  </si>
  <si>
    <t>AMUSEMENT TAX REBATE</t>
  </si>
  <si>
    <t>23-230-54-00-5465</t>
  </si>
  <si>
    <t>Operating Funds</t>
  </si>
  <si>
    <t>51-000-44-00-4426</t>
  </si>
  <si>
    <t>01-000-44-00-4407</t>
  </si>
  <si>
    <t>01-000-49-00-4916</t>
  </si>
  <si>
    <t>01-000-43-00-4323</t>
  </si>
  <si>
    <t>23-216-99-00-9901</t>
  </si>
  <si>
    <t>PRINCIPAL PAYMENT</t>
  </si>
  <si>
    <t>23-000-44-00-4440</t>
  </si>
  <si>
    <t>ROAD INFRASTRUCTURE FEE</t>
  </si>
  <si>
    <t>TIF INCENTIVE PAYOUT</t>
  </si>
  <si>
    <t>88-880-54-00-5425</t>
  </si>
  <si>
    <t>Debt Service - 2013 Refunding Bond</t>
  </si>
  <si>
    <t>87-870-93-00-8000</t>
  </si>
  <si>
    <t>87-870-93-00-8050</t>
  </si>
  <si>
    <t>52-000-44-00-4440</t>
  </si>
  <si>
    <t>52-000-44-00-4462</t>
  </si>
  <si>
    <t>SEWER INFRASTRUCTURE FEE</t>
  </si>
  <si>
    <t>Check Figures</t>
  </si>
  <si>
    <t>United City of Yorkville - Consolidated Budget</t>
  </si>
  <si>
    <t>Yorkville Public Library - Consolidated Budget</t>
  </si>
  <si>
    <t>Yorkville Parks and Recreation - Consolidated Budget</t>
  </si>
  <si>
    <t xml:space="preserve">BUSINESS DISTRICT REBATE </t>
  </si>
  <si>
    <t>79-795-54-00-5460</t>
  </si>
  <si>
    <t>The table and graph below present the Library's funds in aggregate, similar to that of a private business (for illustrative purposes only).  All budgeted Library funds are included:  Library Operations (82); Library Debt Service (83); and Library Capital (84).</t>
  </si>
  <si>
    <t>The table and graph below present the Park &amp; Recreation funds in aggregate, similar to that of a private business (for illustrative purposes only).  All budgeted Park &amp; Recreation funds are included:  Parks &amp; Recreation (79); Recreation Center (80); and the Parks &amp; Recreation Capital portion of Vehicle &amp; Equipment (25).</t>
  </si>
  <si>
    <t>FY 2020</t>
  </si>
  <si>
    <t>ties to Budget Detail worksheet</t>
  </si>
  <si>
    <t>Variance</t>
  </si>
  <si>
    <t>variance</t>
  </si>
  <si>
    <t>Fund Cover Sheets</t>
  </si>
  <si>
    <t>Ties to</t>
  </si>
  <si>
    <t>footed against Fund Cover numbers</t>
  </si>
  <si>
    <t>cross foot</t>
  </si>
  <si>
    <t>Fund Cover Sums</t>
  </si>
  <si>
    <t xml:space="preserve">Cross Foot </t>
  </si>
  <si>
    <t>Total Budget Summary</t>
  </si>
  <si>
    <t xml:space="preserve">Beg F/B + </t>
  </si>
  <si>
    <t>Rev - Exp</t>
  </si>
  <si>
    <t>Beg F/B + S(D)</t>
  </si>
  <si>
    <t>Ties to Budget Detail - check figure - HIDE</t>
  </si>
  <si>
    <t>Variance - check figure - HIDE</t>
  </si>
  <si>
    <t>83-830-99-00-8000</t>
  </si>
  <si>
    <t>83-830-99-00-8050</t>
  </si>
  <si>
    <t>23-230-60-00-6048</t>
  </si>
  <si>
    <t>The Library Capital Fund derives its revenue from monies collected from building permits.  The revenue is used for Library building maintenance and associated capital, contractual and supply purchases.</t>
  </si>
  <si>
    <t>01-210-50-00-5008</t>
  </si>
  <si>
    <t>Property Taxes</t>
  </si>
  <si>
    <t>Corporate</t>
  </si>
  <si>
    <t>Police Pension</t>
  </si>
  <si>
    <t>Total City</t>
  </si>
  <si>
    <t>Total City Capped</t>
  </si>
  <si>
    <t>72-720-60-00-6049</t>
  </si>
  <si>
    <t>RAINTREE PARK C</t>
  </si>
  <si>
    <t>23-230-60-00-6025</t>
  </si>
  <si>
    <t>80-000-44-00-4439</t>
  </si>
  <si>
    <t>TRAVEL &amp; LODGING</t>
  </si>
  <si>
    <t>PRINTING &amp; DUPLICATING</t>
  </si>
  <si>
    <t>DUES &amp; SUBSCRIPTIONS</t>
  </si>
  <si>
    <t>REPAIR &amp; MAINTENANCE</t>
  </si>
  <si>
    <t>OUTSIDE REPAIR &amp; MAINTENANCE</t>
  </si>
  <si>
    <t>BOOKS &amp; PUBLICATIONS</t>
  </si>
  <si>
    <t>METERS &amp; PARTS</t>
  </si>
  <si>
    <t>ATHLETICS &amp; FITNESS</t>
  </si>
  <si>
    <t>SPONSORSHIPS &amp; DONATIONS</t>
  </si>
  <si>
    <t>SCHOLARSHIPS &amp; DONATIONS</t>
  </si>
  <si>
    <t>COMPACT DISCS &amp; OTHER MUSIC</t>
  </si>
  <si>
    <t>MEMORIALS &amp; GIFTS</t>
  </si>
  <si>
    <t>ROAD TO BETTER ROADS PROGRAM</t>
  </si>
  <si>
    <t>Water Operations</t>
  </si>
  <si>
    <t>Sewer Operations</t>
  </si>
  <si>
    <t>51-510-60-00-6025</t>
  </si>
  <si>
    <t>52-520-60-00-6025</t>
  </si>
  <si>
    <t>01-110-50-00-5010</t>
  </si>
  <si>
    <t>23-000-46-00-4660</t>
  </si>
  <si>
    <t>REIMB - PUSH FOR THE PATH</t>
  </si>
  <si>
    <t>VIDEO GAMING TAX</t>
  </si>
  <si>
    <t>23-000-46-00-4620</t>
  </si>
  <si>
    <t>REIMB - PULTE (AUTUMN CREEK)</t>
  </si>
  <si>
    <t>23-230-60-00-6007</t>
  </si>
  <si>
    <t>KENNEDY RD - AUTUMN CREEK</t>
  </si>
  <si>
    <t>Debt Service - 2003A IRBB Debt Certificates</t>
  </si>
  <si>
    <t>SALE OF CAPITAL ASSETS - POLICE CAPITAL</t>
  </si>
  <si>
    <t>SALE OF CAPITAL ASSETS</t>
  </si>
  <si>
    <t>INTEREST EXPENSE</t>
  </si>
  <si>
    <t>01-410-54-00-5495</t>
  </si>
  <si>
    <t>OUTSIDE REPAIR &amp; MAINTENCE</t>
  </si>
  <si>
    <t>51-510-54-00-5495</t>
  </si>
  <si>
    <t>52-520-54-00-5495</t>
  </si>
  <si>
    <t>23-216-54-00-5446</t>
  </si>
  <si>
    <t>23-216-56-00-5656</t>
  </si>
  <si>
    <t>15-155-60-00-6004</t>
  </si>
  <si>
    <t>BASELINE ROAD BRIDGE REPAIRS</t>
  </si>
  <si>
    <t>51-510-56-00-5665</t>
  </si>
  <si>
    <t>JULIE SUPPLIES</t>
  </si>
  <si>
    <t>11-111-54-00-5466</t>
  </si>
  <si>
    <t>E-BOOKS SUBSCRIPTION</t>
  </si>
  <si>
    <t>SALE OF CAPITAL ASSETS - PW CAPITAL</t>
  </si>
  <si>
    <t>25-225-60-00-6070</t>
  </si>
  <si>
    <t>25-225-60-00-6065</t>
  </si>
  <si>
    <t>52-000-49-00-4910</t>
  </si>
  <si>
    <t>88-000-49-00-4910</t>
  </si>
  <si>
    <t>12-000-40-00-4000</t>
  </si>
  <si>
    <t xml:space="preserve">PROPERTY TAXES                        </t>
  </si>
  <si>
    <t>11-000-40-00-4000</t>
  </si>
  <si>
    <t xml:space="preserve">PROPERTY TAXES                             </t>
  </si>
  <si>
    <t>42-000-40-00-4000</t>
  </si>
  <si>
    <t>51-000-40-00-4000</t>
  </si>
  <si>
    <t>82-000-40-00-4000</t>
  </si>
  <si>
    <t xml:space="preserve">PROPERTY TAXES                    </t>
  </si>
  <si>
    <t>83-000-40-00-4000</t>
  </si>
  <si>
    <t xml:space="preserve">PROPERTY TAXES           </t>
  </si>
  <si>
    <t xml:space="preserve">PROPERTY TAXES                         </t>
  </si>
  <si>
    <t>87-000-40-00-4000</t>
  </si>
  <si>
    <t>88-000-40-00-4000</t>
  </si>
  <si>
    <t>PARKS &amp; RECREATION CHARGEBACK</t>
  </si>
  <si>
    <t>79-790-54-00-5422</t>
  </si>
  <si>
    <t>The Municipal Building Fund was used to maintain existing City owned buildings and to fund land acquisition, design and construction of new buildings.  This fund was closed out in fiscal year 2014.</t>
  </si>
  <si>
    <t>Parks &amp; Rec Capital Expenditures</t>
  </si>
  <si>
    <t>Parks &amp; Rec Capital Fund Balance</t>
  </si>
  <si>
    <t>23-000-41-00-4161</t>
  </si>
  <si>
    <t>88-880-60-00-6048</t>
  </si>
  <si>
    <t>Principal</t>
  </si>
  <si>
    <t>Interest</t>
  </si>
  <si>
    <t>72-720-60-00-6028</t>
  </si>
  <si>
    <t>CANNONBALL PARK</t>
  </si>
  <si>
    <t>Variance - Budget Detail Fund Balance Summary</t>
  </si>
  <si>
    <t>Ties to F/B History - FY 15 proj</t>
  </si>
  <si>
    <t>01-000-41-00-4168</t>
  </si>
  <si>
    <t>BRIDGE PARK</t>
  </si>
  <si>
    <t>BUSINESS DISTRICT TAX</t>
  </si>
  <si>
    <t>88-000-40-00-4070</t>
  </si>
  <si>
    <t>LOAN PROCEEDS - RIVER ROAD BRIDGE</t>
  </si>
  <si>
    <t>01-110-54-00-5436</t>
  </si>
  <si>
    <t>4TH OF JULY CONTRIBUTION</t>
  </si>
  <si>
    <t>23-216-54-00-5405</t>
  </si>
  <si>
    <t>25-205-54-00-5405</t>
  </si>
  <si>
    <t>25-225-54-00-5405</t>
  </si>
  <si>
    <t>42-420-54-00-5405</t>
  </si>
  <si>
    <t>72-000-42-00-4216</t>
  </si>
  <si>
    <t>25-000-42-00-4216</t>
  </si>
  <si>
    <t>42-000-42-00-4216</t>
  </si>
  <si>
    <t>72-720-54-00-5405</t>
  </si>
  <si>
    <t>51-510-60-00-6066</t>
  </si>
  <si>
    <t>RTE 71 WATERMAIN RELOCATION</t>
  </si>
  <si>
    <t>TRANSFER FROM GENERAL - CW CAPITAL</t>
  </si>
  <si>
    <t>15-000-41-00-4183</t>
  </si>
  <si>
    <t>KENDALL AREA TRANSIT</t>
  </si>
  <si>
    <t>15-000-41-00-4184</t>
  </si>
  <si>
    <t>23-000-41-00-4162</t>
  </si>
  <si>
    <t>FEDERAL GRANTS - RIVER RD BRIDGE</t>
  </si>
  <si>
    <t>FEDERAL GRANTS - ITEP DOWNTOWN</t>
  </si>
  <si>
    <t>15-000-41-00-4185</t>
  </si>
  <si>
    <t>23-230-60-00-6095</t>
  </si>
  <si>
    <t>FEDERAL GRANTS - SAFE ROUTE TO SCHOOL</t>
  </si>
  <si>
    <t>15-155-54-00-5482</t>
  </si>
  <si>
    <t>STREET LIGHTING</t>
  </si>
  <si>
    <t>88-880-54-00-5493</t>
  </si>
  <si>
    <t>72-000-45-00-4500</t>
  </si>
  <si>
    <t>72-000-47-00-4736</t>
  </si>
  <si>
    <t>BRIARWOOD</t>
  </si>
  <si>
    <t>EMPLOYER CONTRIBUTION - POLICE PENSION</t>
  </si>
  <si>
    <t>STATE GRANTS - DOWNTOWN PARKING LOT</t>
  </si>
  <si>
    <t>STATE GRANTS - MATERIALS STORAGE FACILITY</t>
  </si>
  <si>
    <t>DEVELOPMENT FEES - CW CAPITAL</t>
  </si>
  <si>
    <t>DOWNTOWN STREETSCAPE IMPROVEMENT</t>
  </si>
  <si>
    <t>SUNFLOWER ESTATES - DRAINAGE IMPROVEMENT</t>
  </si>
  <si>
    <t>ROUTE 71 (RTE 47 / ORCHARD RD) PROJECT</t>
  </si>
  <si>
    <t xml:space="preserve">City-Wide </t>
  </si>
  <si>
    <t>Grant Proceeds</t>
  </si>
  <si>
    <t>Kennedy Road Bike Trails</t>
  </si>
  <si>
    <t>P4P Proceeds</t>
  </si>
  <si>
    <t>Kennedy Road - Autumn Creek</t>
  </si>
  <si>
    <t>Pulte Reimbursement</t>
  </si>
  <si>
    <t>Road to Better Roads Program</t>
  </si>
  <si>
    <t xml:space="preserve">The Administration Department includes both elected official and management expenditures.  The executive and legislative branches consist of the Mayor and an eight member City Council.  The city administrator is hired by the Mayor with the consent of the City Council.  City staff report to the city administrator.  It is the role of the city administrator to direct staff in the daily administration of City services.  </t>
  </si>
  <si>
    <t>The Finance Department is responsible for the accounting, internal controls, external reporting and auditing of all financial transactions.   The Finance Department is in charge of preparing for the annual audit, utility billing, receivables, payables, treasury management and payroll and works with administration in the preparation of the annual budget.  Personnel are budgeted in the General and Water Funds.</t>
  </si>
  <si>
    <t>The mission of the Yorkville Police Department is to work in partnership with the community to protect life and property, assist neighborhoods with solving their problems and enhance the quality of life in our City.</t>
  </si>
  <si>
    <t xml:space="preserve">The Administrative Services Department accounts for General Fund expenditures that are shared by all departments and cannot be easily classified in one department or the other.  These expenditures include such items as tax rebates, bad debt, engineering services, corporate legal expenditures and interfund transfers. </t>
  </si>
  <si>
    <t xml:space="preserve">This fund was created in Fiscal Year 2014, consolidating the Police Capital, Public Works Capital and Park &amp; Recreation Capital funds.  This fund primarily derives its revenue from monies collected from building permits and development fees.  The revenue is used to purchase vehicles and equipment for use in the operations of the Police, Public Works and Parks &amp; Recreation Departments.  </t>
  </si>
  <si>
    <t>The Motor Fuel Tax Fund is used to maintain existing and construct new City owned roadways, alleys and parking lots.  The fund also purchases materials used in the maintenance and operation of those facilities.</t>
  </si>
  <si>
    <t xml:space="preserve">The REC Center is a 38,000 square foot, full-service fitness and recreation facility leased by the City and operated by the Parks and Recreation Department.  This fund was closed out in fiscal year 2014. </t>
  </si>
  <si>
    <t xml:space="preserve">The Library Debt Service Fund accumulates monies for payment of the 2006 and 2013 refinancing bonds, which were issued to finance construction of the Library building.  </t>
  </si>
  <si>
    <t>The table and graph below present the City's funds in aggregate, similar to that of a private business (for illustrative purposes only).  All budgeted funds are included except for the following:  Park &amp; Recreation Capital portion of Vehicle and Equipment (25); Library Operations (82); Library Debt Service (83); Library Capital (84); Park &amp; Recreation (79); and Recreation Center (80).</t>
  </si>
  <si>
    <t>51-510-50-00-5015</t>
  </si>
  <si>
    <t>TRANSFER FROM CW MUNICIPAL BUILDING</t>
  </si>
  <si>
    <t>Game Farm Road Project</t>
  </si>
  <si>
    <t>END BUDGET DETAIL WORKSHEET</t>
  </si>
  <si>
    <t>87-000-40-00-4070</t>
  </si>
  <si>
    <t>87-870-54-00-5493</t>
  </si>
  <si>
    <t>Ties to Budget Cat Sum</t>
  </si>
  <si>
    <t>Ties to Budget Sum</t>
  </si>
  <si>
    <t>PUBLIC WORKS DEPARTMENT - STREET OPERATIONS / HEALTH &amp; SANITATION</t>
  </si>
  <si>
    <t xml:space="preserve">The City-Wide Capital Fund is used to maintain existing and construct new public and municipal infrastructure, and to fund other improvements that benefit the public.  </t>
  </si>
  <si>
    <t>Public Works - Street Operations</t>
  </si>
  <si>
    <t>Public Works - Health &amp; Sanitation</t>
  </si>
  <si>
    <t>Allocated Insurance Expenditures - Aggregated</t>
  </si>
  <si>
    <t>Aggregated Salary &amp; Wage Information</t>
  </si>
  <si>
    <t>01-410-50-00-5015</t>
  </si>
  <si>
    <t>FEDERAL GRANTS - GAME FARM RD ROW</t>
  </si>
  <si>
    <t>FEDERAL GRANTS - ITEP KENNEDY RD TRAIL</t>
  </si>
  <si>
    <t>25-000-42-00-4218</t>
  </si>
  <si>
    <t>25-000-42-00-4219</t>
  </si>
  <si>
    <t>25-000-42-00-4215</t>
  </si>
  <si>
    <t>25-000-42-00-4220</t>
  </si>
  <si>
    <t>25-000-43-00-4315</t>
  </si>
  <si>
    <t>25-000-43-00-4316</t>
  </si>
  <si>
    <t>25-000-43-00-4340</t>
  </si>
  <si>
    <t>25-000-44-00-4418</t>
  </si>
  <si>
    <t>25-000-44-00-4420</t>
  </si>
  <si>
    <t>25-000-44-00-4421</t>
  </si>
  <si>
    <t>25-000-44-00-4427</t>
  </si>
  <si>
    <t>25-000-45-00-4520</t>
  </si>
  <si>
    <t>25-000-45-00-4521</t>
  </si>
  <si>
    <t>25-000-45-00-4522</t>
  </si>
  <si>
    <t>25-000-42-00-4217</t>
  </si>
  <si>
    <t>25-000-48-00-4852</t>
  </si>
  <si>
    <t>25-000-48-00-4854</t>
  </si>
  <si>
    <t>25-000-49-00-4920</t>
  </si>
  <si>
    <t>25-000-49-00-4921</t>
  </si>
  <si>
    <t>25-000-49-00-4924</t>
  </si>
  <si>
    <t>25-000-46-00-4692</t>
  </si>
  <si>
    <t>01-640-99-00-9923</t>
  </si>
  <si>
    <t>01-640-99-00-9914</t>
  </si>
  <si>
    <t>TRANSFER TO CW BUILDINGS &amp; GROUNDS</t>
  </si>
  <si>
    <t>STATE GRANTS - TRAFFIC SIGNAL MAINTENANCE</t>
  </si>
  <si>
    <t>82-000-44-00-4439</t>
  </si>
  <si>
    <t>Debt Service - 2004A Debt Certificates</t>
  </si>
  <si>
    <t>MOSER HOLDING COSTS</t>
  </si>
  <si>
    <t>Fiscal Years 2013 - 2020</t>
  </si>
  <si>
    <t>Fiscal Year 2016</t>
  </si>
  <si>
    <t>Fiscal Year 2016 Budget</t>
  </si>
  <si>
    <t>01-640-54-00-5434</t>
  </si>
  <si>
    <t>EXCISE TAX REBATE</t>
  </si>
  <si>
    <t>23-230-54-00-5499</t>
  </si>
  <si>
    <t>52-000-40-00-4000</t>
  </si>
  <si>
    <t>72-720-60-00-6043</t>
  </si>
  <si>
    <t>BRISTOL BAY REGIONAL PARK</t>
  </si>
  <si>
    <t>87-000-49-00-4902</t>
  </si>
  <si>
    <t>BOND ISSUANCE</t>
  </si>
  <si>
    <t>87-870-54-00-5402</t>
  </si>
  <si>
    <t>BOND ISSUANCE COSTS</t>
  </si>
  <si>
    <t>87-870-99-00-9902</t>
  </si>
  <si>
    <t>BOND DISCOUNT</t>
  </si>
  <si>
    <t>87-870-99-00-9960</t>
  </si>
  <si>
    <t>PAYMENT TO ESCROW AGENT</t>
  </si>
  <si>
    <t>88-000-48-00-4850</t>
  </si>
  <si>
    <t>23-000-49-00-4923</t>
  </si>
  <si>
    <t>23-000-49-00-4916</t>
  </si>
  <si>
    <t>TRANSFER FROM GENERAL - CW B&amp;G</t>
  </si>
  <si>
    <t>CW Municipal Building Fund Balance</t>
  </si>
  <si>
    <t>42-420-79-00-8000</t>
  </si>
  <si>
    <t>42-420-79-00-8050</t>
  </si>
  <si>
    <t>2014A Bond</t>
  </si>
  <si>
    <t>23-230-78-00-8000</t>
  </si>
  <si>
    <t>23-230-78-00-8050</t>
  </si>
  <si>
    <t>51-510-94-00-8000</t>
  </si>
  <si>
    <t>51-510-94-00-8050</t>
  </si>
  <si>
    <t>Debt Service - 2014 Refunding Bond</t>
  </si>
  <si>
    <t>Total Debt Service Payments</t>
  </si>
  <si>
    <t>23-230-54-00-5498</t>
  </si>
  <si>
    <t>City-Wide - Building &amp; Grounds Expenditures</t>
  </si>
  <si>
    <t>Fund Balance - City-Wide Capital</t>
  </si>
  <si>
    <t>Fund Balance - CW Municipal Building</t>
  </si>
  <si>
    <t>LIQUOR LICENSES</t>
  </si>
  <si>
    <t>COLLECTION FEES - YBSD</t>
  </si>
  <si>
    <t>TRANSFER TO CITY-WIDE  CAPITAL</t>
  </si>
  <si>
    <t>23-000-49-00-4903</t>
  </si>
  <si>
    <t>PREMIUM ON BOND ISSUANCE</t>
  </si>
  <si>
    <t>23-000-46-00-4690</t>
  </si>
  <si>
    <t xml:space="preserve">REIMB - MISCELLANEOUS </t>
  </si>
  <si>
    <t>42-000-49-00-4902</t>
  </si>
  <si>
    <t>72-000-46-00-4655</t>
  </si>
  <si>
    <t>REIMB - GRANDE RESERVE PARK B</t>
  </si>
  <si>
    <t>72-000-47-00-4701</t>
  </si>
  <si>
    <t>WHITE OAK</t>
  </si>
  <si>
    <t>23-230-54-00-5402</t>
  </si>
  <si>
    <t>51-510-54-00-5402</t>
  </si>
  <si>
    <t>23-230-60-00-6018</t>
  </si>
  <si>
    <t>GREENBRIAR POND NATURALIZATION</t>
  </si>
  <si>
    <t>87-870-60-00-6000</t>
  </si>
  <si>
    <t>42-420-99-00-9960</t>
  </si>
  <si>
    <t>42-000-49-00-4903</t>
  </si>
  <si>
    <t xml:space="preserve">The Debt Service Fund accumulates monies for payment of the 2014B bonds, which refinanced the 2005A bonds.  The 2005A bonds were originally issued to finance road improvement projects.  </t>
  </si>
  <si>
    <t>Ties to F/B History - FY 16 proj</t>
  </si>
  <si>
    <t>72-000-41-00-4186</t>
  </si>
  <si>
    <t xml:space="preserve">OSLAD GRANT - BRISTOL BAY </t>
  </si>
  <si>
    <t>OSLAD GRANT - RIVERFRONT PARK</t>
  </si>
  <si>
    <t>TREE &amp; STUMP MAINTENANCE</t>
  </si>
  <si>
    <t>BALISTIC VESTS</t>
  </si>
  <si>
    <t>01-000-49-00-4910</t>
  </si>
  <si>
    <t>51-510-54-00-5465</t>
  </si>
  <si>
    <t>15-000-41-00-4187</t>
  </si>
  <si>
    <t>23-000-46-00-4606</t>
  </si>
  <si>
    <t>REIMB - COM ED</t>
  </si>
  <si>
    <t>23-230-60-00-6008</t>
  </si>
  <si>
    <t>51-510-60-00-6022</t>
  </si>
  <si>
    <t>WELL REHABILITATIONS</t>
  </si>
  <si>
    <t>52-520-60-00-6028</t>
  </si>
  <si>
    <t>SANITARY SEWER LINING</t>
  </si>
  <si>
    <t>52-000-46-00-4625</t>
  </si>
  <si>
    <t>REIMB - I &amp; I REDUCTIONS</t>
  </si>
  <si>
    <t>BUSINESS DISTRICT TAX - KENDALL MRKT</t>
  </si>
  <si>
    <t>01-000-40-00-4071</t>
  </si>
  <si>
    <t>01-000-40-00-4072</t>
  </si>
  <si>
    <t>BUSINESS DISTRICT TAX - DOWNTOWN</t>
  </si>
  <si>
    <t>BUSINESS DISTRICT TAX - COUNTRYSIDE</t>
  </si>
  <si>
    <t>01-640-54-00-5428</t>
  </si>
  <si>
    <t>UTILITY TAX REBATE</t>
  </si>
  <si>
    <t>23-230-60-00-6082</t>
  </si>
  <si>
    <t>COUNTRYSIDE PKY IMPROVEMENTS</t>
  </si>
  <si>
    <t>2015 Bond</t>
  </si>
  <si>
    <t>51-510-77-00-8000</t>
  </si>
  <si>
    <t>51-510-77-00-8050</t>
  </si>
  <si>
    <t>51-510-60-00-6082</t>
  </si>
  <si>
    <t>51-000-49-00-4900</t>
  </si>
  <si>
    <t>42-420-54-00-5402</t>
  </si>
  <si>
    <t>Aggregated Benefit Information</t>
  </si>
  <si>
    <t>IMRF</t>
  </si>
  <si>
    <t>FICA</t>
  </si>
  <si>
    <t xml:space="preserve">PROPERTY TAXES - 2014B BOND                  </t>
  </si>
  <si>
    <t>BEECHER &amp; CORNEILS ROAD</t>
  </si>
  <si>
    <t>88-880-99-00-9923</t>
  </si>
  <si>
    <t>23-000-49-00-4988</t>
  </si>
  <si>
    <t>TRANSFER FROM DOWNTOWN TIF</t>
  </si>
  <si>
    <t>TRANSFER TO CITY-WIDE CAPITAL</t>
  </si>
  <si>
    <t>BLACKBERRY CREEK NATURE PRESERVE</t>
  </si>
  <si>
    <t>72-720-60-00-6067</t>
  </si>
  <si>
    <t>01-640-99-00-9915</t>
  </si>
  <si>
    <t>TRANSFER TO MOTOR FUEL TAX</t>
  </si>
  <si>
    <t>TRANSFER FROM CITY-WIDE CAPITAL</t>
  </si>
  <si>
    <t>15-000-49-00-4901</t>
  </si>
  <si>
    <t>15-000-49-00-4923</t>
  </si>
  <si>
    <t>Countryside Parkway</t>
  </si>
  <si>
    <t>87-870-54-00-5462</t>
  </si>
  <si>
    <t>88-880-54-00-5462</t>
  </si>
  <si>
    <t>Well Rehabs</t>
  </si>
  <si>
    <t>Rte 71 Watermain Relocate</t>
  </si>
  <si>
    <t>Sanitary Sewer Lining</t>
  </si>
  <si>
    <t>Selected Capital Projects - Aggregated &gt; $500,000</t>
  </si>
  <si>
    <t>25-225-60-00-6068</t>
  </si>
  <si>
    <t>2014B Refunding Bond</t>
  </si>
  <si>
    <t>Debt Service - 2014C Refunding Bond</t>
  </si>
  <si>
    <t>TRAIL IMPROVEMENTS</t>
  </si>
  <si>
    <t>WRIGLEY (RTE 47) EXPANSION</t>
  </si>
  <si>
    <t>STATE GRANTS - EDP WRIGLEY (RTE 47)</t>
  </si>
  <si>
    <t>23-000-41-00-4188</t>
  </si>
  <si>
    <t>23-230-60-00-6009</t>
  </si>
  <si>
    <t>Total Library</t>
  </si>
  <si>
    <t>Grand Total</t>
  </si>
  <si>
    <t>01-640-54-00-5489</t>
  </si>
  <si>
    <t>LOSS ON INVESTMENT</t>
  </si>
  <si>
    <t>15-155-54-00-5489</t>
  </si>
  <si>
    <t>23-230-54-00-5489</t>
  </si>
  <si>
    <t>25-225-54-00-5489</t>
  </si>
  <si>
    <t>51-510-54-00-5489</t>
  </si>
  <si>
    <t>52-520-54-00-5489</t>
  </si>
  <si>
    <t>82-820-54-00-5489</t>
  </si>
  <si>
    <t>01-000-40-00-4055</t>
  </si>
  <si>
    <t>Selected Capital Projects - Aggregated &gt; $500,000 continued</t>
  </si>
  <si>
    <t>23-230-99-00-9915</t>
  </si>
  <si>
    <t xml:space="preserve">Developer </t>
  </si>
  <si>
    <t>Commitments</t>
  </si>
  <si>
    <t>FEDERAL GRANTS - CANNONBALL LAFO</t>
  </si>
  <si>
    <t>See separate spreadsheet tab for Vehicle &amp; Equipment Fund description</t>
  </si>
  <si>
    <t>01-110-56-00-5640</t>
  </si>
</sst>
</file>

<file path=xl/styles.xml><?xml version="1.0" encoding="utf-8"?>
<styleSheet xmlns="http://schemas.openxmlformats.org/spreadsheetml/2006/main">
  <numFmts count="9">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quot;$&quot;#,##0.00"/>
    <numFmt numFmtId="166" formatCode="0.0%"/>
    <numFmt numFmtId="167" formatCode="_(&quot;$&quot;* #,##0_);_(&quot;$&quot;* \(#,##0\);_(&quot;$&quot;* &quot;-&quot;??_);_(@_)"/>
    <numFmt numFmtId="168" formatCode="_(* #,##0.00_);_(* \(#,##0.00\);_(* &quot;-&quot;_);_(@_)"/>
  </numFmts>
  <fonts count="67">
    <font>
      <sz val="10"/>
      <color indexed="8"/>
      <name val="ARIAL"/>
      <charset val="1"/>
    </font>
    <font>
      <sz val="10"/>
      <color indexed="8"/>
      <name val="Arial"/>
      <family val="2"/>
    </font>
    <font>
      <sz val="11"/>
      <name val="Times New Roman"/>
      <family val="1"/>
    </font>
    <font>
      <b/>
      <sz val="11"/>
      <name val="Times New Roman"/>
      <family val="1"/>
    </font>
    <font>
      <b/>
      <u/>
      <sz val="9"/>
      <name val="Univers (WN)"/>
    </font>
    <font>
      <sz val="8"/>
      <name val="Univers (WN)"/>
    </font>
    <font>
      <sz val="11"/>
      <color indexed="8"/>
      <name val="Times New Roman"/>
      <family val="1"/>
    </font>
    <font>
      <b/>
      <sz val="11"/>
      <color indexed="8"/>
      <name val="Times New Roman"/>
      <family val="1"/>
    </font>
    <font>
      <b/>
      <sz val="11"/>
      <color indexed="18"/>
      <name val="Times New Roman"/>
      <family val="1"/>
    </font>
    <font>
      <b/>
      <i/>
      <sz val="11"/>
      <color indexed="8"/>
      <name val="Times New Roman"/>
      <family val="1"/>
    </font>
    <font>
      <i/>
      <sz val="11"/>
      <color indexed="8"/>
      <name val="Times New Roman"/>
      <family val="1"/>
    </font>
    <font>
      <sz val="10"/>
      <color indexed="8"/>
      <name val="Arial"/>
      <family val="2"/>
    </font>
    <font>
      <b/>
      <u/>
      <sz val="12"/>
      <color indexed="8"/>
      <name val="Times New Roman"/>
      <family val="1"/>
    </font>
    <font>
      <b/>
      <u/>
      <sz val="11"/>
      <color indexed="8"/>
      <name val="Times New Roman"/>
      <family val="1"/>
    </font>
    <font>
      <b/>
      <sz val="10"/>
      <color indexed="8"/>
      <name val="Arial"/>
      <family val="2"/>
    </font>
    <font>
      <u/>
      <sz val="11"/>
      <color indexed="8"/>
      <name val="Times New Roman"/>
      <family val="1"/>
    </font>
    <font>
      <u val="singleAccounting"/>
      <sz val="11"/>
      <name val="Times New Roman"/>
      <family val="1"/>
    </font>
    <font>
      <u val="singleAccounting"/>
      <sz val="11"/>
      <color indexed="8"/>
      <name val="Times New Roman"/>
      <family val="1"/>
    </font>
    <font>
      <i/>
      <sz val="11"/>
      <name val="Times New Roman"/>
      <family val="1"/>
    </font>
    <font>
      <sz val="10"/>
      <color indexed="8"/>
      <name val="Arial"/>
      <family val="2"/>
    </font>
    <font>
      <b/>
      <sz val="14"/>
      <name val="Times New Roman"/>
      <family val="1"/>
    </font>
    <font>
      <sz val="14"/>
      <name val="Times New Roman"/>
      <family val="1"/>
    </font>
    <font>
      <sz val="11"/>
      <color rgb="FF000000"/>
      <name val="Times New Roman"/>
      <family val="1"/>
    </font>
    <font>
      <sz val="8"/>
      <name val="Times New Roman"/>
      <family val="1"/>
    </font>
    <font>
      <b/>
      <u/>
      <sz val="11"/>
      <name val="Times New Roman"/>
      <family val="1"/>
    </font>
    <font>
      <b/>
      <sz val="18"/>
      <name val="Times New Roman"/>
      <family val="1"/>
    </font>
    <font>
      <u/>
      <sz val="11"/>
      <name val="Times New Roman"/>
      <family val="1"/>
    </font>
    <font>
      <sz val="12"/>
      <name val="Arial"/>
      <family val="2"/>
    </font>
    <font>
      <sz val="7"/>
      <name val="Univers (WN)"/>
    </font>
    <font>
      <b/>
      <i/>
      <u/>
      <sz val="7"/>
      <name val="Univers (WN)"/>
    </font>
    <font>
      <sz val="10"/>
      <name val="Times New Roman"/>
      <family val="1"/>
    </font>
    <font>
      <i/>
      <sz val="10"/>
      <name val="Times New Roman"/>
      <family val="1"/>
    </font>
    <font>
      <i/>
      <sz val="10"/>
      <color indexed="8"/>
      <name val="Times New Roman"/>
      <family val="1"/>
    </font>
    <font>
      <b/>
      <u val="singleAccounting"/>
      <sz val="11"/>
      <color indexed="8"/>
      <name val="Times New Roman"/>
      <family val="1"/>
    </font>
    <font>
      <b/>
      <i/>
      <u val="singleAccounting"/>
      <sz val="11"/>
      <color indexed="8"/>
      <name val="Times New Roman"/>
      <family val="1"/>
    </font>
    <font>
      <b/>
      <i/>
      <sz val="11"/>
      <name val="Times New Roman"/>
      <family val="1"/>
    </font>
    <font>
      <i/>
      <sz val="11"/>
      <color rgb="FFFF0000"/>
      <name val="Times New Roman"/>
      <family val="1"/>
    </font>
    <font>
      <sz val="11"/>
      <color rgb="FFFF0000"/>
      <name val="Times New Roman"/>
      <family val="1"/>
    </font>
    <font>
      <b/>
      <sz val="20"/>
      <color indexed="8"/>
      <name val="Times New Roman"/>
      <family val="1"/>
    </font>
    <font>
      <i/>
      <sz val="20"/>
      <color indexed="8"/>
      <name val="Times New Roman"/>
      <family val="1"/>
    </font>
    <font>
      <i/>
      <u/>
      <sz val="11"/>
      <color indexed="8"/>
      <name val="Times New Roman"/>
      <family val="1"/>
    </font>
    <font>
      <b/>
      <i/>
      <u/>
      <sz val="11"/>
      <color indexed="8"/>
      <name val="Times New Roman"/>
      <family val="1"/>
    </font>
    <font>
      <sz val="10"/>
      <name val="Arial Black"/>
      <family val="2"/>
    </font>
    <font>
      <b/>
      <i/>
      <sz val="10"/>
      <color indexed="8"/>
      <name val="Arial"/>
      <family val="2"/>
    </font>
    <font>
      <i/>
      <sz val="10"/>
      <color indexed="8"/>
      <name val="Arial"/>
      <family val="2"/>
    </font>
    <font>
      <b/>
      <u/>
      <sz val="11"/>
      <color theme="0"/>
      <name val="Times New Roman"/>
      <family val="1"/>
    </font>
    <font>
      <sz val="11"/>
      <color theme="0"/>
      <name val="Times New Roman"/>
      <family val="1"/>
    </font>
    <font>
      <b/>
      <sz val="11"/>
      <color theme="0"/>
      <name val="Times New Roman"/>
      <family val="1"/>
    </font>
    <font>
      <i/>
      <sz val="11"/>
      <color theme="0"/>
      <name val="Times New Roman"/>
      <family val="1"/>
    </font>
    <font>
      <sz val="20"/>
      <color theme="0"/>
      <name val="Times New Roman"/>
      <family val="1"/>
    </font>
    <font>
      <u val="singleAccounting"/>
      <sz val="11"/>
      <color theme="0"/>
      <name val="Times New Roman"/>
      <family val="1"/>
    </font>
    <font>
      <b/>
      <i/>
      <u val="singleAccounting"/>
      <sz val="11"/>
      <color theme="0"/>
      <name val="Times New Roman"/>
      <family val="1"/>
    </font>
    <font>
      <b/>
      <i/>
      <u/>
      <sz val="11"/>
      <color theme="0"/>
      <name val="Times New Roman"/>
      <family val="1"/>
    </font>
    <font>
      <sz val="14"/>
      <color indexed="8"/>
      <name val="Times New Roman"/>
      <family val="1"/>
    </font>
    <font>
      <b/>
      <u/>
      <sz val="14"/>
      <color indexed="8"/>
      <name val="Times New Roman"/>
      <family val="1"/>
    </font>
    <font>
      <sz val="16"/>
      <color indexed="8"/>
      <name val="Times New Roman"/>
      <family val="1"/>
    </font>
    <font>
      <b/>
      <u/>
      <sz val="16"/>
      <color indexed="8"/>
      <name val="Times New Roman"/>
      <family val="1"/>
    </font>
    <font>
      <i/>
      <u/>
      <sz val="11"/>
      <color theme="0"/>
      <name val="Times New Roman"/>
      <family val="1"/>
    </font>
    <font>
      <i/>
      <sz val="9"/>
      <color theme="0"/>
      <name val="Times New Roman"/>
      <family val="1"/>
    </font>
    <font>
      <b/>
      <i/>
      <sz val="11"/>
      <color theme="0"/>
      <name val="Times New Roman"/>
      <family val="1"/>
    </font>
    <font>
      <u val="singleAccounting"/>
      <sz val="11"/>
      <color rgb="FFFF0000"/>
      <name val="Times New Roman"/>
      <family val="1"/>
    </font>
    <font>
      <b/>
      <sz val="72"/>
      <name val="Times New Roman"/>
      <family val="1"/>
    </font>
    <font>
      <b/>
      <u val="singleAccounting"/>
      <sz val="11"/>
      <color theme="0"/>
      <name val="Times New Roman"/>
      <family val="1"/>
    </font>
    <font>
      <b/>
      <i/>
      <u/>
      <sz val="9"/>
      <color indexed="8"/>
      <name val="Times New Roman"/>
      <family val="1"/>
    </font>
    <font>
      <sz val="16"/>
      <color theme="0"/>
      <name val="Times New Roman"/>
      <family val="1"/>
    </font>
    <font>
      <i/>
      <u val="singleAccounting"/>
      <sz val="11"/>
      <color indexed="8"/>
      <name val="Times New Roman"/>
      <family val="1"/>
    </font>
    <font>
      <i/>
      <u/>
      <sz val="11"/>
      <name val="Times New Roman"/>
      <family val="1"/>
    </font>
  </fonts>
  <fills count="9">
    <fill>
      <patternFill patternType="none"/>
    </fill>
    <fill>
      <patternFill patternType="gray125"/>
    </fill>
    <fill>
      <patternFill patternType="lightGray"/>
    </fill>
    <fill>
      <patternFill patternType="solid">
        <fgColor indexed="9"/>
        <bgColor indexed="64"/>
      </patternFill>
    </fill>
    <fill>
      <patternFill patternType="solid">
        <fgColor indexed="6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rgb="FF92D050"/>
        <bgColor indexed="64"/>
      </patternFill>
    </fill>
  </fills>
  <borders count="8">
    <border>
      <left/>
      <right/>
      <top/>
      <bottom/>
      <diagonal/>
    </border>
    <border>
      <left/>
      <right/>
      <top style="thin">
        <color theme="0"/>
      </top>
      <bottom style="thin">
        <color theme="0"/>
      </bottom>
      <diagonal/>
    </border>
    <border>
      <left/>
      <right/>
      <top style="thin">
        <color theme="0"/>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bottom style="double">
        <color indexed="64"/>
      </bottom>
      <diagonal/>
    </border>
  </borders>
  <cellStyleXfs count="6">
    <xf numFmtId="0" fontId="0" fillId="0" borderId="0">
      <alignment vertical="top"/>
    </xf>
    <xf numFmtId="0" fontId="4" fillId="0" borderId="0">
      <alignment horizontal="center"/>
    </xf>
    <xf numFmtId="37" fontId="5" fillId="2" borderId="0"/>
    <xf numFmtId="43" fontId="1" fillId="0" borderId="0" applyFont="0" applyFill="0" applyBorder="0" applyAlignment="0" applyProtection="0"/>
    <xf numFmtId="9" fontId="11" fillId="0" borderId="0" applyFont="0" applyFill="0" applyBorder="0" applyAlignment="0" applyProtection="0"/>
    <xf numFmtId="44" fontId="19" fillId="0" borderId="0" applyFont="0" applyFill="0" applyBorder="0" applyAlignment="0" applyProtection="0"/>
  </cellStyleXfs>
  <cellXfs count="770">
    <xf numFmtId="0" fontId="0" fillId="0" borderId="0" xfId="0">
      <alignment vertical="top"/>
    </xf>
    <xf numFmtId="0" fontId="2" fillId="0" borderId="0" xfId="0" applyFont="1" applyFill="1" applyAlignment="1">
      <alignment vertical="center"/>
    </xf>
    <xf numFmtId="164" fontId="2" fillId="0" borderId="0" xfId="3" applyNumberFormat="1" applyFont="1" applyFill="1" applyAlignment="1">
      <alignment vertical="center"/>
    </xf>
    <xf numFmtId="164" fontId="2" fillId="0" borderId="0" xfId="3" applyNumberFormat="1" applyFont="1" applyFill="1" applyBorder="1" applyAlignment="1">
      <alignment vertical="center"/>
    </xf>
    <xf numFmtId="164" fontId="3" fillId="0" borderId="0" xfId="3" applyNumberFormat="1" applyFont="1" applyFill="1" applyBorder="1" applyAlignment="1">
      <alignment vertical="center"/>
    </xf>
    <xf numFmtId="0" fontId="2" fillId="0" borderId="0" xfId="0" applyFont="1" applyFill="1" applyAlignment="1">
      <alignment horizontal="left" vertical="center"/>
    </xf>
    <xf numFmtId="41" fontId="2" fillId="0" borderId="0" xfId="0" applyNumberFormat="1" applyFont="1" applyFill="1" applyAlignment="1">
      <alignment vertical="center"/>
    </xf>
    <xf numFmtId="0" fontId="3" fillId="0" borderId="0" xfId="0" applyFont="1" applyFill="1" applyAlignment="1">
      <alignment vertical="center"/>
    </xf>
    <xf numFmtId="164" fontId="16" fillId="0" borderId="0" xfId="3" applyNumberFormat="1" applyFont="1" applyFill="1" applyBorder="1" applyAlignment="1">
      <alignment vertical="center"/>
    </xf>
    <xf numFmtId="0" fontId="18" fillId="0" borderId="0" xfId="0" applyFont="1" applyFill="1" applyAlignment="1">
      <alignment vertical="center"/>
    </xf>
    <xf numFmtId="0" fontId="2" fillId="0" borderId="0" xfId="0" applyFont="1" applyFill="1" applyAlignment="1"/>
    <xf numFmtId="0" fontId="2" fillId="0" borderId="0" xfId="0" applyFont="1" applyFill="1" applyAlignment="1">
      <alignment horizontal="center"/>
    </xf>
    <xf numFmtId="0" fontId="2" fillId="0" borderId="0" xfId="0" applyFont="1" applyFill="1" applyAlignment="1" applyProtection="1">
      <alignment horizontal="center"/>
    </xf>
    <xf numFmtId="0" fontId="2" fillId="0" borderId="0" xfId="0" applyFont="1" applyFill="1" applyBorder="1" applyAlignment="1"/>
    <xf numFmtId="0" fontId="2" fillId="0" borderId="0" xfId="0" applyFont="1" applyFill="1" applyAlignment="1" applyProtection="1">
      <alignment horizontal="left" indent="1"/>
    </xf>
    <xf numFmtId="0" fontId="2" fillId="0" borderId="0" xfId="0" applyFont="1" applyFill="1" applyBorder="1" applyAlignment="1" applyProtection="1">
      <alignment horizontal="left" indent="1"/>
    </xf>
    <xf numFmtId="0" fontId="3" fillId="0" borderId="0" xfId="0" applyFont="1" applyFill="1" applyBorder="1" applyAlignment="1" applyProtection="1">
      <alignment horizontal="left" indent="1"/>
    </xf>
    <xf numFmtId="0" fontId="3" fillId="0" borderId="0" xfId="1" applyFont="1" applyFill="1" applyBorder="1" applyAlignment="1"/>
    <xf numFmtId="0" fontId="2" fillId="0" borderId="0" xfId="0" applyFont="1" applyFill="1" applyBorder="1" applyAlignment="1" applyProtection="1">
      <alignment horizontal="left"/>
    </xf>
    <xf numFmtId="164" fontId="2" fillId="0" borderId="0" xfId="3" applyNumberFormat="1" applyFont="1" applyFill="1" applyAlignment="1"/>
    <xf numFmtId="164" fontId="2" fillId="0" borderId="0" xfId="3" applyNumberFormat="1" applyFont="1" applyFill="1" applyBorder="1" applyAlignment="1"/>
    <xf numFmtId="0" fontId="2" fillId="0" borderId="0" xfId="0" applyFont="1" applyFill="1" applyBorder="1" applyAlignment="1" applyProtection="1">
      <alignment horizontal="center"/>
    </xf>
    <xf numFmtId="164" fontId="2" fillId="0" borderId="0" xfId="3" applyNumberFormat="1" applyFont="1" applyFill="1" applyAlignment="1">
      <alignment vertical="center" wrapText="1"/>
    </xf>
    <xf numFmtId="164" fontId="2" fillId="0" borderId="0" xfId="3" applyNumberFormat="1" applyFont="1" applyFill="1" applyBorder="1" applyAlignment="1" applyProtection="1">
      <alignment horizontal="center"/>
    </xf>
    <xf numFmtId="164" fontId="0" fillId="0" borderId="0" xfId="3" applyNumberFormat="1" applyFont="1" applyFill="1" applyAlignment="1">
      <alignment vertical="top"/>
    </xf>
    <xf numFmtId="164" fontId="0" fillId="0" borderId="0" xfId="3" applyNumberFormat="1" applyFont="1" applyAlignment="1">
      <alignment vertical="top"/>
    </xf>
    <xf numFmtId="0" fontId="0" fillId="0" borderId="0" xfId="0" applyBorder="1">
      <alignment vertical="top"/>
    </xf>
    <xf numFmtId="0" fontId="2" fillId="0" borderId="0" xfId="0" applyFont="1" applyFill="1" applyBorder="1" applyAlignment="1">
      <alignment horizontal="center"/>
    </xf>
    <xf numFmtId="0" fontId="2" fillId="0" borderId="0" xfId="0" applyFont="1" applyFill="1" applyBorder="1" applyAlignment="1">
      <alignment vertical="center" wrapText="1"/>
    </xf>
    <xf numFmtId="164" fontId="2" fillId="0" borderId="0" xfId="3" applyNumberFormat="1" applyFont="1" applyFill="1" applyBorder="1" applyAlignment="1">
      <alignment vertical="center" wrapText="1"/>
    </xf>
    <xf numFmtId="0" fontId="2" fillId="0" borderId="0" xfId="0" applyFont="1" applyFill="1" applyBorder="1" applyAlignment="1">
      <alignment horizontal="left" vertical="center"/>
    </xf>
    <xf numFmtId="164" fontId="2" fillId="0" borderId="0" xfId="3" applyNumberFormat="1" applyFont="1" applyFill="1" applyBorder="1" applyAlignment="1">
      <alignment horizontal="center"/>
    </xf>
    <xf numFmtId="164" fontId="2" fillId="3" borderId="0" xfId="3" applyNumberFormat="1" applyFont="1" applyFill="1" applyBorder="1" applyAlignment="1" applyProtection="1">
      <alignment horizontal="center"/>
    </xf>
    <xf numFmtId="0" fontId="3" fillId="0" borderId="0" xfId="0" applyFont="1" applyFill="1" applyBorder="1" applyAlignment="1" applyProtection="1">
      <alignment horizontal="left"/>
    </xf>
    <xf numFmtId="0" fontId="2" fillId="0" borderId="0" xfId="1" applyFont="1" applyFill="1" applyBorder="1" applyAlignment="1">
      <alignment horizontal="left" indent="1"/>
    </xf>
    <xf numFmtId="0" fontId="2" fillId="0" borderId="0" xfId="0" applyFont="1" applyFill="1" applyBorder="1" applyAlignment="1">
      <alignment horizontal="left" indent="1"/>
    </xf>
    <xf numFmtId="164" fontId="0" fillId="0" borderId="0" xfId="3" applyNumberFormat="1" applyFont="1" applyFill="1" applyBorder="1" applyAlignment="1">
      <alignment vertical="top"/>
    </xf>
    <xf numFmtId="164" fontId="0" fillId="0" borderId="0" xfId="3" applyNumberFormat="1" applyFont="1" applyBorder="1" applyAlignment="1">
      <alignment vertical="top"/>
    </xf>
    <xf numFmtId="0" fontId="20" fillId="0" borderId="0" xfId="0" applyFont="1" applyAlignment="1">
      <alignment horizontal="center" wrapText="1"/>
    </xf>
    <xf numFmtId="0" fontId="2" fillId="0" borderId="0" xfId="0" applyFont="1" applyAlignment="1"/>
    <xf numFmtId="0" fontId="2" fillId="0" borderId="0" xfId="0" applyFont="1" applyAlignment="1">
      <alignment horizontal="left" vertical="center" wrapText="1" indent="2"/>
    </xf>
    <xf numFmtId="0" fontId="2" fillId="0" borderId="4" xfId="0" applyFont="1" applyFill="1" applyBorder="1" applyAlignment="1">
      <alignment horizontal="center"/>
    </xf>
    <xf numFmtId="0" fontId="3" fillId="0" borderId="0" xfId="0" applyFont="1" applyFill="1" applyAlignment="1">
      <alignment horizontal="left"/>
    </xf>
    <xf numFmtId="0" fontId="2" fillId="0" borderId="3" xfId="0" applyFont="1" applyFill="1" applyBorder="1" applyAlignment="1" applyProtection="1">
      <alignment horizontal="left" indent="1"/>
    </xf>
    <xf numFmtId="0" fontId="2" fillId="0" borderId="0" xfId="0" applyFont="1" applyAlignment="1">
      <alignment horizontal="left" vertical="center" wrapText="1"/>
    </xf>
    <xf numFmtId="164" fontId="2" fillId="0" borderId="0" xfId="3" applyNumberFormat="1" applyFont="1" applyFill="1"/>
    <xf numFmtId="0" fontId="0" fillId="0" borderId="0" xfId="0" applyAlignment="1">
      <alignment horizontal="left"/>
    </xf>
    <xf numFmtId="0" fontId="2" fillId="0" borderId="0" xfId="0" applyFont="1" applyAlignment="1">
      <alignment horizontal="left" vertical="center" indent="2"/>
    </xf>
    <xf numFmtId="0" fontId="2" fillId="0" borderId="0" xfId="0" applyFont="1" applyFill="1" applyAlignment="1">
      <alignment vertical="top"/>
    </xf>
    <xf numFmtId="0" fontId="2" fillId="0" borderId="0" xfId="0" applyFont="1" applyAlignment="1">
      <alignment horizontal="center"/>
    </xf>
    <xf numFmtId="0" fontId="0" fillId="0" borderId="0" xfId="0" applyAlignment="1">
      <alignment wrapText="1"/>
    </xf>
    <xf numFmtId="0" fontId="24" fillId="0" borderId="0" xfId="0" applyFont="1" applyAlignment="1">
      <alignment vertical="center"/>
    </xf>
    <xf numFmtId="164" fontId="20" fillId="0" borderId="0" xfId="3" applyNumberFormat="1" applyFont="1" applyAlignment="1">
      <alignment horizontal="center" wrapText="1"/>
    </xf>
    <xf numFmtId="164" fontId="21" fillId="0" borderId="0" xfId="3" applyNumberFormat="1" applyFont="1" applyAlignment="1">
      <alignment horizontal="center" wrapText="1"/>
    </xf>
    <xf numFmtId="164" fontId="2" fillId="0" borderId="0" xfId="3" applyNumberFormat="1" applyFont="1" applyAlignment="1"/>
    <xf numFmtId="164" fontId="2" fillId="0" borderId="0" xfId="3" applyNumberFormat="1" applyFont="1" applyAlignment="1">
      <alignment horizontal="left" vertical="center" wrapText="1" indent="2"/>
    </xf>
    <xf numFmtId="164" fontId="2" fillId="0" borderId="0" xfId="3" applyNumberFormat="1" applyFont="1" applyFill="1" applyBorder="1"/>
    <xf numFmtId="164" fontId="2" fillId="0" borderId="0" xfId="3" applyNumberFormat="1" applyFont="1" applyAlignment="1">
      <alignment horizontal="left" vertical="center" wrapText="1"/>
    </xf>
    <xf numFmtId="164" fontId="0" fillId="0" borderId="0" xfId="3" applyNumberFormat="1" applyFont="1" applyAlignment="1">
      <alignment horizontal="left"/>
    </xf>
    <xf numFmtId="164" fontId="2" fillId="0" borderId="0" xfId="3" applyNumberFormat="1" applyFont="1" applyAlignment="1">
      <alignment horizontal="left" vertical="center" indent="2"/>
    </xf>
    <xf numFmtId="164" fontId="23" fillId="0" borderId="0" xfId="3" applyNumberFormat="1" applyFont="1" applyAlignment="1">
      <alignment horizontal="left" vertical="center" indent="2"/>
    </xf>
    <xf numFmtId="164" fontId="2" fillId="0" borderId="0" xfId="3" applyNumberFormat="1" applyFont="1" applyFill="1" applyAlignment="1">
      <alignment vertical="top"/>
    </xf>
    <xf numFmtId="164" fontId="0" fillId="0" borderId="0" xfId="3" applyNumberFormat="1" applyFont="1" applyAlignment="1">
      <alignment wrapText="1"/>
    </xf>
    <xf numFmtId="0" fontId="21"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pplyProtection="1">
      <alignment horizontal="center" vertical="center"/>
    </xf>
    <xf numFmtId="0" fontId="2" fillId="0" borderId="4" xfId="0" applyFont="1" applyFill="1" applyBorder="1" applyAlignment="1" applyProtection="1">
      <alignment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6" fillId="0" borderId="0" xfId="0" applyFont="1" applyFill="1" applyAlignment="1" applyProtection="1">
      <alignment vertical="center"/>
    </xf>
    <xf numFmtId="0" fontId="2" fillId="0" borderId="0" xfId="0" applyFont="1" applyAlignment="1">
      <alignment vertical="center"/>
    </xf>
    <xf numFmtId="164" fontId="2" fillId="0" borderId="0" xfId="3" applyNumberFormat="1" applyFont="1" applyFill="1" applyBorder="1" applyAlignment="1" applyProtection="1">
      <alignment vertical="center"/>
    </xf>
    <xf numFmtId="0" fontId="2" fillId="0" borderId="0" xfId="0" applyFont="1" applyBorder="1" applyAlignment="1">
      <alignment vertical="center"/>
    </xf>
    <xf numFmtId="0" fontId="3" fillId="0" borderId="6" xfId="0" applyFont="1" applyFill="1" applyBorder="1" applyAlignment="1" applyProtection="1">
      <alignment vertical="center"/>
    </xf>
    <xf numFmtId="164" fontId="3" fillId="0" borderId="6" xfId="3" applyNumberFormat="1" applyFont="1" applyFill="1" applyBorder="1" applyAlignment="1" applyProtection="1">
      <alignment vertical="center"/>
    </xf>
    <xf numFmtId="37" fontId="2" fillId="0" borderId="0" xfId="0" applyNumberFormat="1" applyFont="1" applyFill="1" applyAlignment="1" applyProtection="1">
      <alignment vertical="center"/>
    </xf>
    <xf numFmtId="167" fontId="2" fillId="0" borderId="0" xfId="5" applyNumberFormat="1" applyFont="1" applyFill="1" applyAlignment="1">
      <alignment vertical="center"/>
    </xf>
    <xf numFmtId="37" fontId="2" fillId="0" borderId="4" xfId="2" applyFont="1" applyFill="1" applyBorder="1" applyAlignment="1">
      <alignment horizontal="center" vertical="center"/>
    </xf>
    <xf numFmtId="37" fontId="2" fillId="0" borderId="0" xfId="2" applyFont="1" applyFill="1" applyBorder="1" applyAlignment="1">
      <alignment horizontal="center" vertical="center"/>
    </xf>
    <xf numFmtId="164" fontId="2" fillId="0" borderId="0" xfId="3" applyNumberFormat="1" applyFont="1" applyFill="1" applyAlignment="1">
      <alignment horizontal="center" vertical="center"/>
    </xf>
    <xf numFmtId="164" fontId="2" fillId="0" borderId="0" xfId="3" applyNumberFormat="1" applyFont="1" applyFill="1" applyBorder="1" applyAlignment="1">
      <alignment horizontal="center" vertical="center"/>
    </xf>
    <xf numFmtId="164" fontId="3" fillId="0" borderId="6" xfId="3" applyNumberFormat="1" applyFont="1" applyFill="1" applyBorder="1" applyAlignment="1">
      <alignment vertical="center"/>
    </xf>
    <xf numFmtId="10" fontId="2" fillId="0" borderId="0" xfId="4" applyNumberFormat="1" applyFont="1" applyFill="1" applyAlignment="1">
      <alignment vertical="center"/>
    </xf>
    <xf numFmtId="41" fontId="2" fillId="0" borderId="0" xfId="0" applyNumberFormat="1" applyFont="1" applyFill="1" applyAlignment="1">
      <alignment horizontal="center" vertical="center"/>
    </xf>
    <xf numFmtId="41" fontId="2" fillId="0" borderId="0" xfId="0" applyNumberFormat="1" applyFont="1" applyFill="1" applyBorder="1" applyAlignment="1">
      <alignment vertical="center"/>
    </xf>
    <xf numFmtId="0" fontId="2" fillId="0" borderId="0" xfId="0" applyFont="1" applyAlignment="1">
      <alignment horizontal="center" vertical="center"/>
    </xf>
    <xf numFmtId="14" fontId="2" fillId="0" borderId="0" xfId="0" applyNumberFormat="1" applyFont="1" applyFill="1" applyAlignment="1">
      <alignment horizontal="center"/>
    </xf>
    <xf numFmtId="0" fontId="2" fillId="0" borderId="4" xfId="0" applyFont="1" applyFill="1" applyBorder="1" applyAlignment="1" applyProtection="1">
      <alignment horizontal="center"/>
    </xf>
    <xf numFmtId="37" fontId="2" fillId="0" borderId="4" xfId="2" applyFont="1" applyFill="1" applyBorder="1" applyAlignment="1">
      <alignment horizontal="center"/>
    </xf>
    <xf numFmtId="37" fontId="2" fillId="0" borderId="0" xfId="2" applyFont="1" applyFill="1" applyBorder="1" applyAlignment="1">
      <alignment horizontal="center"/>
    </xf>
    <xf numFmtId="164" fontId="2" fillId="0" borderId="0" xfId="3" applyNumberFormat="1" applyFont="1" applyFill="1" applyAlignment="1" applyProtection="1">
      <alignment vertical="center"/>
    </xf>
    <xf numFmtId="164" fontId="2" fillId="0" borderId="0" xfId="3" applyNumberFormat="1" applyFont="1" applyAlignment="1">
      <alignment vertical="center"/>
    </xf>
    <xf numFmtId="164" fontId="2" fillId="0" borderId="0" xfId="3" applyNumberFormat="1" applyFont="1" applyAlignment="1">
      <alignment horizontal="center" vertical="center"/>
    </xf>
    <xf numFmtId="41" fontId="2" fillId="0" borderId="0" xfId="0" applyNumberFormat="1" applyFont="1" applyFill="1" applyBorder="1" applyAlignment="1" applyProtection="1">
      <alignment vertical="center"/>
    </xf>
    <xf numFmtId="164" fontId="16" fillId="0" borderId="0" xfId="3" applyNumberFormat="1" applyFont="1" applyFill="1" applyBorder="1" applyAlignment="1" applyProtection="1">
      <alignment vertical="center"/>
    </xf>
    <xf numFmtId="164" fontId="18" fillId="0" borderId="0" xfId="3" applyNumberFormat="1" applyFont="1" applyFill="1" applyBorder="1" applyAlignment="1" applyProtection="1">
      <alignment vertical="center"/>
    </xf>
    <xf numFmtId="164" fontId="18" fillId="0" borderId="0" xfId="3" applyNumberFormat="1" applyFont="1" applyFill="1" applyBorder="1" applyAlignment="1">
      <alignment vertical="center"/>
    </xf>
    <xf numFmtId="0" fontId="3" fillId="4" borderId="6" xfId="0" applyFont="1" applyFill="1" applyBorder="1" applyAlignment="1" applyProtection="1">
      <alignment vertical="center"/>
    </xf>
    <xf numFmtId="41" fontId="3" fillId="4" borderId="6" xfId="0" applyNumberFormat="1" applyFont="1" applyFill="1" applyBorder="1" applyAlignment="1" applyProtection="1">
      <alignment vertical="center"/>
    </xf>
    <xf numFmtId="164" fontId="3" fillId="4" borderId="6" xfId="3" applyNumberFormat="1" applyFont="1" applyFill="1" applyBorder="1" applyAlignment="1" applyProtection="1">
      <alignment vertical="center"/>
    </xf>
    <xf numFmtId="37" fontId="2" fillId="0" borderId="0" xfId="0" applyNumberFormat="1" applyFont="1" applyFill="1" applyAlignment="1" applyProtection="1"/>
    <xf numFmtId="0" fontId="28" fillId="0" borderId="0" xfId="0" applyFont="1" applyAlignment="1"/>
    <xf numFmtId="0" fontId="29" fillId="0" borderId="0" xfId="0" applyFont="1" applyFill="1" applyAlignment="1"/>
    <xf numFmtId="0" fontId="28" fillId="0" borderId="0" xfId="0" applyFont="1" applyFill="1" applyAlignment="1"/>
    <xf numFmtId="0" fontId="20" fillId="0" borderId="0" xfId="0" applyFont="1" applyFill="1" applyAlignment="1">
      <alignment horizontal="center"/>
    </xf>
    <xf numFmtId="0" fontId="26" fillId="0" borderId="0" xfId="0" applyFont="1" applyFill="1" applyAlignment="1" applyProtection="1">
      <alignment horizontal="left"/>
    </xf>
    <xf numFmtId="164" fontId="2" fillId="0" borderId="0" xfId="3" applyNumberFormat="1" applyFont="1"/>
    <xf numFmtId="164" fontId="2" fillId="0" borderId="0" xfId="3" applyNumberFormat="1" applyFont="1" applyBorder="1" applyAlignment="1">
      <alignment vertical="center"/>
    </xf>
    <xf numFmtId="0" fontId="28" fillId="0" borderId="0" xfId="0" applyFont="1" applyBorder="1" applyAlignment="1"/>
    <xf numFmtId="164" fontId="2" fillId="0" borderId="3" xfId="3" applyNumberFormat="1" applyFont="1" applyFill="1" applyBorder="1" applyAlignment="1">
      <alignment vertical="center"/>
    </xf>
    <xf numFmtId="164" fontId="2" fillId="0" borderId="3" xfId="3" applyNumberFormat="1" applyFont="1" applyBorder="1" applyAlignment="1">
      <alignment vertical="center"/>
    </xf>
    <xf numFmtId="0" fontId="30" fillId="0" borderId="0" xfId="0" applyFont="1" applyAlignment="1">
      <alignment horizontal="center"/>
    </xf>
    <xf numFmtId="0" fontId="30" fillId="0" borderId="0" xfId="0" applyFont="1" applyFill="1" applyAlignment="1">
      <alignment vertical="center"/>
    </xf>
    <xf numFmtId="0" fontId="3" fillId="0" borderId="0" xfId="0" applyFont="1" applyFill="1" applyBorder="1" applyAlignment="1"/>
    <xf numFmtId="0" fontId="3" fillId="0" borderId="7" xfId="0" applyFont="1" applyFill="1" applyBorder="1" applyAlignment="1" applyProtection="1">
      <alignment horizontal="left" indent="1"/>
    </xf>
    <xf numFmtId="0" fontId="14" fillId="0" borderId="0" xfId="0" applyFont="1" applyBorder="1">
      <alignment vertical="top"/>
    </xf>
    <xf numFmtId="0" fontId="3" fillId="0" borderId="6" xfId="0" applyFont="1" applyFill="1" applyBorder="1" applyAlignment="1" applyProtection="1">
      <alignment horizontal="left" indent="1"/>
    </xf>
    <xf numFmtId="0" fontId="3" fillId="0" borderId="6" xfId="0" applyFont="1" applyFill="1" applyBorder="1" applyAlignment="1" applyProtection="1">
      <alignment horizontal="left" indent="1" shrinkToFit="1"/>
    </xf>
    <xf numFmtId="0" fontId="18" fillId="0" borderId="0" xfId="0" applyFont="1" applyAlignment="1"/>
    <xf numFmtId="0" fontId="42" fillId="0" borderId="0" xfId="0" applyFont="1" applyAlignment="1"/>
    <xf numFmtId="0" fontId="42" fillId="0" borderId="0" xfId="0" applyFont="1" applyAlignment="1">
      <alignment horizontal="center"/>
    </xf>
    <xf numFmtId="37" fontId="18" fillId="0" borderId="0" xfId="0" applyNumberFormat="1" applyFont="1" applyFill="1" applyAlignment="1" applyProtection="1">
      <alignment vertical="center"/>
    </xf>
    <xf numFmtId="0" fontId="18" fillId="0" borderId="0" xfId="0" applyFont="1" applyAlignment="1">
      <alignment vertical="center"/>
    </xf>
    <xf numFmtId="0" fontId="18" fillId="0" borderId="0" xfId="0" applyFont="1" applyAlignment="1">
      <alignment horizontal="center" vertical="center"/>
    </xf>
    <xf numFmtId="0" fontId="2" fillId="5" borderId="0" xfId="0" applyFont="1" applyFill="1" applyAlignment="1"/>
    <xf numFmtId="0" fontId="3" fillId="5" borderId="0" xfId="0" applyFont="1" applyFill="1" applyBorder="1" applyAlignment="1" applyProtection="1">
      <alignment horizontal="left" indent="1"/>
    </xf>
    <xf numFmtId="0" fontId="0" fillId="5" borderId="0" xfId="0" applyFill="1">
      <alignment vertical="top"/>
    </xf>
    <xf numFmtId="0" fontId="2" fillId="8" borderId="0" xfId="0" applyFont="1" applyFill="1" applyAlignment="1"/>
    <xf numFmtId="0" fontId="3" fillId="8" borderId="0" xfId="0" applyFont="1" applyFill="1" applyBorder="1" applyAlignment="1" applyProtection="1">
      <alignment horizontal="left" indent="1"/>
    </xf>
    <xf numFmtId="0" fontId="0" fillId="8" borderId="0" xfId="0" applyFill="1">
      <alignment vertical="top"/>
    </xf>
    <xf numFmtId="164" fontId="18" fillId="5" borderId="0" xfId="3" applyNumberFormat="1" applyFont="1" applyFill="1" applyBorder="1" applyAlignment="1">
      <alignment vertical="center"/>
    </xf>
    <xf numFmtId="164" fontId="3" fillId="8" borderId="0" xfId="3" applyNumberFormat="1" applyFont="1" applyFill="1" applyBorder="1" applyAlignment="1">
      <alignment vertical="center"/>
    </xf>
    <xf numFmtId="0" fontId="0" fillId="0" borderId="0" xfId="0" applyAlignment="1">
      <alignment vertical="top"/>
    </xf>
    <xf numFmtId="164" fontId="3" fillId="0" borderId="0" xfId="3" applyNumberFormat="1" applyFont="1" applyFill="1" applyBorder="1"/>
    <xf numFmtId="0" fontId="3" fillId="5" borderId="0" xfId="0" applyFont="1" applyFill="1" applyBorder="1" applyAlignment="1"/>
    <xf numFmtId="164" fontId="18" fillId="5" borderId="0" xfId="3" applyNumberFormat="1" applyFont="1" applyFill="1" applyBorder="1"/>
    <xf numFmtId="0" fontId="14" fillId="5" borderId="0" xfId="0" applyFont="1" applyFill="1" applyBorder="1">
      <alignment vertical="top"/>
    </xf>
    <xf numFmtId="0" fontId="18" fillId="5" borderId="0" xfId="0" applyFont="1" applyFill="1" applyBorder="1" applyAlignment="1" applyProtection="1">
      <alignment horizontal="center"/>
    </xf>
    <xf numFmtId="0" fontId="44" fillId="5" borderId="0" xfId="0" applyFont="1" applyFill="1" applyBorder="1">
      <alignment vertical="top"/>
    </xf>
    <xf numFmtId="164" fontId="18" fillId="5" borderId="0" xfId="3" applyNumberFormat="1" applyFont="1" applyFill="1"/>
    <xf numFmtId="0" fontId="0" fillId="5" borderId="0" xfId="0" applyFill="1" applyBorder="1">
      <alignment vertical="top"/>
    </xf>
    <xf numFmtId="0" fontId="3" fillId="8" borderId="0" xfId="0" applyFont="1" applyFill="1" applyBorder="1" applyAlignment="1"/>
    <xf numFmtId="164" fontId="3" fillId="8" borderId="0" xfId="3" applyNumberFormat="1" applyFont="1" applyFill="1" applyBorder="1"/>
    <xf numFmtId="0" fontId="14" fillId="8" borderId="0" xfId="0" applyFont="1" applyFill="1" applyBorder="1">
      <alignment vertical="top"/>
    </xf>
    <xf numFmtId="0" fontId="2" fillId="8" borderId="0" xfId="0" applyFont="1" applyFill="1" applyBorder="1" applyAlignment="1" applyProtection="1">
      <alignment horizontal="center"/>
    </xf>
    <xf numFmtId="164" fontId="2" fillId="8" borderId="0" xfId="3" applyNumberFormat="1" applyFont="1" applyFill="1" applyBorder="1"/>
    <xf numFmtId="0" fontId="0" fillId="8" borderId="0" xfId="0" applyFill="1" applyBorder="1">
      <alignment vertical="top"/>
    </xf>
    <xf numFmtId="164" fontId="2" fillId="8" borderId="0" xfId="3" applyNumberFormat="1" applyFont="1" applyFill="1"/>
    <xf numFmtId="164" fontId="3" fillId="0" borderId="5" xfId="3" applyNumberFormat="1" applyFont="1" applyFill="1" applyBorder="1" applyAlignment="1">
      <alignment vertical="center"/>
    </xf>
    <xf numFmtId="0" fontId="0" fillId="0" borderId="0" xfId="0" applyAlignment="1">
      <alignment vertical="center"/>
    </xf>
    <xf numFmtId="0" fontId="3" fillId="0" borderId="6"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0" fillId="5" borderId="0" xfId="0" applyFill="1" applyAlignment="1">
      <alignment vertical="center"/>
    </xf>
    <xf numFmtId="0" fontId="3" fillId="5" borderId="0" xfId="0" applyFont="1" applyFill="1" applyBorder="1" applyAlignment="1" applyProtection="1">
      <alignment horizontal="left" vertical="center"/>
    </xf>
    <xf numFmtId="0" fontId="0" fillId="8" borderId="0" xfId="0" applyFill="1" applyAlignment="1">
      <alignment vertical="center"/>
    </xf>
    <xf numFmtId="0" fontId="3" fillId="8" borderId="0" xfId="0" applyFont="1" applyFill="1" applyBorder="1" applyAlignment="1" applyProtection="1">
      <alignment horizontal="lef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Border="1" applyAlignment="1" applyProtection="1">
      <alignment horizontal="left" vertical="center"/>
    </xf>
    <xf numFmtId="0" fontId="2" fillId="5" borderId="0" xfId="1" applyFont="1" applyFill="1" applyBorder="1" applyAlignment="1">
      <alignment vertical="center"/>
    </xf>
    <xf numFmtId="0" fontId="2" fillId="8" borderId="0" xfId="1" applyFont="1" applyFill="1" applyBorder="1" applyAlignment="1">
      <alignment vertical="center"/>
    </xf>
    <xf numFmtId="164" fontId="18" fillId="8" borderId="0" xfId="3" applyNumberFormat="1" applyFont="1" applyFill="1" applyBorder="1" applyAlignment="1">
      <alignment vertical="center"/>
    </xf>
    <xf numFmtId="0" fontId="3" fillId="0" borderId="0" xfId="1" applyFont="1" applyFill="1" applyBorder="1" applyAlignment="1">
      <alignment vertical="center"/>
    </xf>
    <xf numFmtId="0" fontId="2" fillId="0" borderId="0" xfId="0" applyFont="1" applyFill="1" applyBorder="1" applyAlignment="1" applyProtection="1">
      <alignment horizontal="left" vertical="center"/>
    </xf>
    <xf numFmtId="10" fontId="18" fillId="0" borderId="0" xfId="4" applyNumberFormat="1" applyFont="1" applyFill="1" applyBorder="1" applyAlignment="1">
      <alignment vertical="center"/>
    </xf>
    <xf numFmtId="164" fontId="0" fillId="0" borderId="0" xfId="3" applyNumberFormat="1" applyFont="1" applyFill="1" applyAlignment="1">
      <alignment vertical="center"/>
    </xf>
    <xf numFmtId="164" fontId="0" fillId="0" borderId="0" xfId="3" applyNumberFormat="1" applyFont="1" applyAlignment="1">
      <alignment vertical="center"/>
    </xf>
    <xf numFmtId="0" fontId="2" fillId="0" borderId="4" xfId="0" applyFont="1" applyFill="1" applyBorder="1" applyAlignment="1">
      <alignment vertical="center"/>
    </xf>
    <xf numFmtId="164" fontId="2" fillId="0" borderId="0" xfId="3" applyNumberFormat="1" applyFont="1" applyFill="1" applyBorder="1" applyAlignment="1" applyProtection="1">
      <alignment horizontal="center" vertical="center"/>
    </xf>
    <xf numFmtId="164" fontId="2" fillId="8" borderId="0" xfId="3" applyNumberFormat="1" applyFont="1" applyFill="1" applyBorder="1" applyAlignment="1">
      <alignment vertical="center"/>
    </xf>
    <xf numFmtId="10" fontId="2" fillId="0" borderId="0" xfId="4" applyNumberFormat="1" applyFont="1" applyFill="1" applyBorder="1" applyAlignment="1">
      <alignment vertical="center"/>
    </xf>
    <xf numFmtId="0" fontId="2" fillId="0" borderId="3" xfId="1" applyFont="1" applyFill="1" applyBorder="1" applyAlignment="1">
      <alignment vertical="center"/>
    </xf>
    <xf numFmtId="0" fontId="18" fillId="0" borderId="0" xfId="1" applyFont="1" applyFill="1" applyBorder="1" applyAlignment="1">
      <alignment vertical="center"/>
    </xf>
    <xf numFmtId="0" fontId="18" fillId="5" borderId="0" xfId="1" applyFont="1" applyFill="1" applyBorder="1" applyAlignment="1">
      <alignment vertical="center"/>
    </xf>
    <xf numFmtId="0" fontId="18" fillId="8" borderId="0" xfId="1" applyFont="1" applyFill="1" applyBorder="1" applyAlignment="1">
      <alignment vertical="center"/>
    </xf>
    <xf numFmtId="164" fontId="18" fillId="0" borderId="5" xfId="3" applyNumberFormat="1" applyFont="1" applyFill="1" applyBorder="1" applyAlignment="1">
      <alignment vertical="center"/>
    </xf>
    <xf numFmtId="166" fontId="2" fillId="0" borderId="0" xfId="4" applyNumberFormat="1" applyFont="1" applyFill="1" applyBorder="1" applyAlignment="1">
      <alignment vertical="center"/>
    </xf>
    <xf numFmtId="0" fontId="2" fillId="5" borderId="0" xfId="0" applyFont="1" applyFill="1" applyAlignment="1">
      <alignment vertical="center"/>
    </xf>
    <xf numFmtId="0" fontId="2" fillId="8" borderId="0" xfId="0" applyFont="1" applyFill="1" applyAlignment="1">
      <alignment vertical="center"/>
    </xf>
    <xf numFmtId="0" fontId="6" fillId="6" borderId="0" xfId="0" applyFont="1" applyFill="1" applyAlignment="1" applyProtection="1">
      <alignment vertical="center"/>
      <protection locked="0"/>
    </xf>
    <xf numFmtId="0" fontId="6" fillId="5" borderId="0" xfId="0" applyFont="1" applyFill="1" applyAlignment="1" applyProtection="1">
      <alignment vertical="center"/>
      <protection locked="0"/>
    </xf>
    <xf numFmtId="0" fontId="7" fillId="0" borderId="0" xfId="0" applyFont="1" applyFill="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41" fontId="2" fillId="0" borderId="0" xfId="3" applyNumberFormat="1" applyFont="1" applyFill="1" applyAlignment="1" applyProtection="1">
      <alignment vertical="center"/>
      <protection locked="0"/>
    </xf>
    <xf numFmtId="41" fontId="2" fillId="6" borderId="0" xfId="3" applyNumberFormat="1" applyFont="1" applyFill="1" applyAlignment="1" applyProtection="1">
      <alignment vertical="center"/>
      <protection locked="0"/>
    </xf>
    <xf numFmtId="0" fontId="10" fillId="0" borderId="0" xfId="0" applyFont="1" applyFill="1" applyAlignment="1" applyProtection="1">
      <alignment vertical="center"/>
      <protection locked="0"/>
    </xf>
    <xf numFmtId="41" fontId="2" fillId="0" borderId="1" xfId="3" applyNumberFormat="1" applyFont="1" applyFill="1" applyBorder="1" applyAlignment="1" applyProtection="1">
      <alignment vertical="center"/>
      <protection locked="0"/>
    </xf>
    <xf numFmtId="41" fontId="2" fillId="6" borderId="1" xfId="3" applyNumberFormat="1" applyFont="1" applyFill="1" applyBorder="1" applyAlignment="1" applyProtection="1">
      <alignment vertical="center"/>
      <protection locked="0"/>
    </xf>
    <xf numFmtId="0" fontId="18" fillId="0" borderId="0" xfId="0" applyFont="1" applyFill="1" applyAlignment="1" applyProtection="1">
      <alignment vertical="center"/>
      <protection locked="0"/>
    </xf>
    <xf numFmtId="0" fontId="18" fillId="0" borderId="0" xfId="0" applyFont="1" applyFill="1" applyAlignment="1" applyProtection="1">
      <alignment horizontal="left" vertical="center"/>
      <protection locked="0"/>
    </xf>
    <xf numFmtId="41" fontId="2" fillId="0" borderId="0" xfId="3" applyNumberFormat="1" applyFont="1" applyFill="1" applyBorder="1" applyAlignment="1" applyProtection="1">
      <alignment vertical="center"/>
      <protection locked="0"/>
    </xf>
    <xf numFmtId="41" fontId="2" fillId="0" borderId="2" xfId="3" applyNumberFormat="1" applyFont="1" applyFill="1" applyBorder="1" applyAlignment="1" applyProtection="1">
      <alignment vertical="center"/>
      <protection locked="0"/>
    </xf>
    <xf numFmtId="41" fontId="2" fillId="6" borderId="2" xfId="3" applyNumberFormat="1" applyFont="1" applyFill="1" applyBorder="1" applyAlignment="1" applyProtection="1">
      <alignment vertical="center"/>
      <protection locked="0"/>
    </xf>
    <xf numFmtId="41" fontId="2" fillId="6" borderId="0" xfId="3" applyNumberFormat="1" applyFont="1" applyFill="1" applyBorder="1" applyAlignment="1" applyProtection="1">
      <alignment vertical="center"/>
      <protection locked="0"/>
    </xf>
    <xf numFmtId="41" fontId="2" fillId="0" borderId="0" xfId="0" applyNumberFormat="1" applyFont="1" applyFill="1" applyAlignment="1" applyProtection="1">
      <alignment vertical="center"/>
      <protection locked="0"/>
    </xf>
    <xf numFmtId="41" fontId="2" fillId="6" borderId="0" xfId="0" applyNumberFormat="1" applyFont="1" applyFill="1" applyAlignment="1" applyProtection="1">
      <alignment vertical="center"/>
      <protection locked="0"/>
    </xf>
    <xf numFmtId="0" fontId="31" fillId="0" borderId="0" xfId="0" applyFont="1" applyFill="1" applyAlignment="1" applyProtection="1">
      <alignment vertical="center"/>
      <protection locked="0"/>
    </xf>
    <xf numFmtId="0" fontId="10" fillId="0" borderId="0" xfId="0" applyFont="1" applyFill="1" applyAlignment="1" applyProtection="1">
      <alignment horizontal="left" vertical="center"/>
      <protection locked="0"/>
    </xf>
    <xf numFmtId="41" fontId="16" fillId="0" borderId="0" xfId="3" applyNumberFormat="1" applyFont="1" applyFill="1" applyAlignment="1" applyProtection="1">
      <alignment vertical="center"/>
      <protection locked="0"/>
    </xf>
    <xf numFmtId="41" fontId="16" fillId="0" borderId="0" xfId="3" applyNumberFormat="1" applyFont="1" applyFill="1" applyBorder="1" applyAlignment="1" applyProtection="1">
      <alignment vertical="center"/>
      <protection locked="0"/>
    </xf>
    <xf numFmtId="41" fontId="16" fillId="6" borderId="0" xfId="3" applyNumberFormat="1" applyFont="1" applyFill="1" applyBorder="1" applyAlignment="1" applyProtection="1">
      <alignment vertical="center"/>
      <protection locked="0"/>
    </xf>
    <xf numFmtId="41" fontId="6" fillId="0" borderId="0" xfId="0" applyNumberFormat="1" applyFont="1" applyFill="1" applyAlignment="1" applyProtection="1">
      <alignment vertical="center"/>
      <protection locked="0"/>
    </xf>
    <xf numFmtId="41" fontId="6" fillId="6" borderId="0" xfId="0" applyNumberFormat="1" applyFont="1" applyFill="1" applyAlignment="1" applyProtection="1">
      <alignment vertical="center"/>
      <protection locked="0"/>
    </xf>
    <xf numFmtId="0" fontId="7" fillId="0" borderId="0" xfId="0" applyFont="1" applyFill="1" applyAlignment="1" applyProtection="1">
      <alignment vertical="center"/>
      <protection locked="0"/>
    </xf>
    <xf numFmtId="41" fontId="7" fillId="0" borderId="0" xfId="0" applyNumberFormat="1" applyFont="1" applyFill="1" applyAlignment="1" applyProtection="1">
      <alignment vertical="center"/>
      <protection locked="0"/>
    </xf>
    <xf numFmtId="41" fontId="7" fillId="6" borderId="0" xfId="0" applyNumberFormat="1" applyFont="1" applyFill="1" applyAlignment="1" applyProtection="1">
      <alignment vertical="center"/>
      <protection locked="0"/>
    </xf>
    <xf numFmtId="0" fontId="9" fillId="0" borderId="0" xfId="0" applyFont="1" applyFill="1" applyAlignment="1" applyProtection="1">
      <alignment vertical="center"/>
      <protection locked="0"/>
    </xf>
    <xf numFmtId="41" fontId="2" fillId="0" borderId="0" xfId="3" applyNumberFormat="1" applyFont="1" applyFill="1" applyAlignment="1" applyProtection="1">
      <alignment horizontal="right" vertical="center"/>
      <protection locked="0"/>
    </xf>
    <xf numFmtId="41" fontId="2" fillId="6" borderId="0" xfId="3" applyNumberFormat="1" applyFont="1" applyFill="1" applyAlignment="1" applyProtection="1">
      <alignment horizontal="right" vertical="center"/>
      <protection locked="0"/>
    </xf>
    <xf numFmtId="164" fontId="2" fillId="0" borderId="0" xfId="3" applyNumberFormat="1" applyFont="1" applyFill="1" applyAlignment="1" applyProtection="1">
      <alignment vertical="center"/>
      <protection locked="0"/>
    </xf>
    <xf numFmtId="41" fontId="16" fillId="6" borderId="0" xfId="3" applyNumberFormat="1" applyFont="1" applyFill="1" applyAlignment="1" applyProtection="1">
      <alignment vertical="center"/>
      <protection locked="0"/>
    </xf>
    <xf numFmtId="41" fontId="16" fillId="0" borderId="1" xfId="3" applyNumberFormat="1" applyFont="1" applyFill="1" applyBorder="1" applyAlignment="1" applyProtection="1">
      <alignment vertical="center"/>
      <protection locked="0"/>
    </xf>
    <xf numFmtId="41" fontId="16" fillId="6" borderId="1" xfId="3" applyNumberFormat="1" applyFont="1" applyFill="1" applyBorder="1" applyAlignment="1" applyProtection="1">
      <alignment vertical="center"/>
      <protection locked="0"/>
    </xf>
    <xf numFmtId="41" fontId="3" fillId="6" borderId="0" xfId="3" applyNumberFormat="1" applyFont="1" applyFill="1" applyBorder="1" applyAlignment="1" applyProtection="1">
      <alignment horizontal="right" vertical="center"/>
      <protection locked="0"/>
    </xf>
    <xf numFmtId="41" fontId="3" fillId="0" borderId="0" xfId="3" applyNumberFormat="1" applyFont="1" applyFill="1" applyBorder="1" applyAlignment="1" applyProtection="1">
      <alignment horizontal="right" vertical="center"/>
      <protection locked="0"/>
    </xf>
    <xf numFmtId="41" fontId="6" fillId="0" borderId="0" xfId="3" applyNumberFormat="1" applyFont="1" applyFill="1" applyAlignment="1" applyProtection="1">
      <alignment horizontal="right" vertical="center"/>
      <protection locked="0"/>
    </xf>
    <xf numFmtId="41" fontId="16" fillId="0" borderId="2" xfId="3" applyNumberFormat="1" applyFont="1" applyFill="1" applyBorder="1" applyAlignment="1" applyProtection="1">
      <alignment vertical="center"/>
      <protection locked="0"/>
    </xf>
    <xf numFmtId="41" fontId="16" fillId="6" borderId="2" xfId="3" applyNumberFormat="1" applyFont="1" applyFill="1" applyBorder="1" applyAlignment="1" applyProtection="1">
      <alignment vertical="center"/>
      <protection locked="0"/>
    </xf>
    <xf numFmtId="0" fontId="32"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164" fontId="6" fillId="0" borderId="0" xfId="3" applyNumberFormat="1" applyFont="1" applyFill="1" applyAlignment="1" applyProtection="1">
      <alignment vertical="center"/>
      <protection locked="0"/>
    </xf>
    <xf numFmtId="41" fontId="6" fillId="0" borderId="0" xfId="3" applyNumberFormat="1" applyFont="1" applyFill="1" applyAlignment="1" applyProtection="1">
      <alignment vertical="center"/>
      <protection locked="0"/>
    </xf>
    <xf numFmtId="41" fontId="6" fillId="6" borderId="0" xfId="3" applyNumberFormat="1" applyFont="1" applyFill="1" applyAlignment="1" applyProtection="1">
      <alignment vertical="center"/>
      <protection locked="0"/>
    </xf>
    <xf numFmtId="41" fontId="6" fillId="6" borderId="0" xfId="3" applyNumberFormat="1" applyFont="1" applyFill="1" applyAlignment="1" applyProtection="1">
      <alignment horizontal="right" vertical="center"/>
      <protection locked="0"/>
    </xf>
    <xf numFmtId="0" fontId="18" fillId="0" borderId="0" xfId="0" applyFont="1" applyFill="1" applyAlignment="1" applyProtection="1">
      <alignment vertical="center" readingOrder="1"/>
      <protection locked="0"/>
    </xf>
    <xf numFmtId="164" fontId="2" fillId="0" borderId="0" xfId="3" applyNumberFormat="1" applyFont="1" applyFill="1" applyBorder="1" applyAlignment="1" applyProtection="1">
      <alignment vertical="center"/>
      <protection locked="0"/>
    </xf>
    <xf numFmtId="41" fontId="7" fillId="0" borderId="0" xfId="3" applyNumberFormat="1" applyFont="1" applyFill="1" applyAlignment="1" applyProtection="1">
      <alignment vertical="center"/>
      <protection locked="0"/>
    </xf>
    <xf numFmtId="41" fontId="7" fillId="6" borderId="0" xfId="3" applyNumberFormat="1" applyFont="1" applyFill="1" applyAlignment="1" applyProtection="1">
      <alignment vertical="center"/>
      <protection locked="0"/>
    </xf>
    <xf numFmtId="43" fontId="33" fillId="0" borderId="0" xfId="3" applyFont="1" applyFill="1" applyAlignment="1" applyProtection="1">
      <alignment vertical="center"/>
      <protection locked="0"/>
    </xf>
    <xf numFmtId="43" fontId="6" fillId="0" borderId="0" xfId="3" applyFont="1" applyFill="1" applyAlignment="1" applyProtection="1">
      <alignment vertical="center"/>
      <protection locked="0"/>
    </xf>
    <xf numFmtId="41" fontId="17" fillId="0" borderId="0" xfId="3" applyNumberFormat="1" applyFont="1" applyFill="1" applyAlignment="1" applyProtection="1">
      <alignment horizontal="right" vertical="center"/>
      <protection locked="0"/>
    </xf>
    <xf numFmtId="41" fontId="17" fillId="6" borderId="0" xfId="3" applyNumberFormat="1" applyFont="1" applyFill="1" applyAlignment="1" applyProtection="1">
      <alignment horizontal="right" vertical="center"/>
      <protection locked="0"/>
    </xf>
    <xf numFmtId="164" fontId="17" fillId="0" borderId="0" xfId="3" applyNumberFormat="1" applyFont="1" applyFill="1" applyAlignment="1" applyProtection="1">
      <alignment vertical="center"/>
      <protection locked="0"/>
    </xf>
    <xf numFmtId="164" fontId="18" fillId="0" borderId="0" xfId="3" applyNumberFormat="1" applyFont="1" applyFill="1" applyAlignment="1" applyProtection="1">
      <alignment vertical="center"/>
      <protection locked="0"/>
    </xf>
    <xf numFmtId="41" fontId="26" fillId="0" borderId="0" xfId="3" applyNumberFormat="1" applyFont="1" applyFill="1" applyBorder="1" applyAlignment="1" applyProtection="1">
      <alignment vertical="center"/>
      <protection locked="0"/>
    </xf>
    <xf numFmtId="41" fontId="26" fillId="6" borderId="0" xfId="3" applyNumberFormat="1" applyFont="1" applyFill="1" applyBorder="1" applyAlignment="1" applyProtection="1">
      <alignment vertical="center"/>
      <protection locked="0"/>
    </xf>
    <xf numFmtId="41" fontId="16" fillId="0" borderId="0" xfId="3" applyNumberFormat="1" applyFont="1" applyFill="1" applyAlignment="1" applyProtection="1">
      <alignment horizontal="right" vertical="center"/>
      <protection locked="0"/>
    </xf>
    <xf numFmtId="41" fontId="16" fillId="6" borderId="0" xfId="3" applyNumberFormat="1" applyFont="1" applyFill="1" applyAlignment="1" applyProtection="1">
      <alignment horizontal="right" vertical="center"/>
      <protection locked="0"/>
    </xf>
    <xf numFmtId="164" fontId="10" fillId="0" borderId="0" xfId="3" applyNumberFormat="1" applyFont="1" applyFill="1" applyAlignment="1" applyProtection="1">
      <alignment vertical="center"/>
      <protection locked="0"/>
    </xf>
    <xf numFmtId="43" fontId="6" fillId="0" borderId="0" xfId="0" applyNumberFormat="1" applyFont="1" applyFill="1" applyAlignment="1" applyProtection="1">
      <alignment vertical="center"/>
      <protection locked="0"/>
    </xf>
    <xf numFmtId="164" fontId="2" fillId="0" borderId="2" xfId="3" applyNumberFormat="1" applyFont="1" applyFill="1" applyBorder="1" applyAlignment="1" applyProtection="1">
      <alignment vertical="center"/>
      <protection locked="0"/>
    </xf>
    <xf numFmtId="164" fontId="18" fillId="0" borderId="2" xfId="3" applyNumberFormat="1" applyFont="1" applyFill="1" applyBorder="1" applyAlignment="1" applyProtection="1">
      <alignment vertical="center"/>
      <protection locked="0"/>
    </xf>
    <xf numFmtId="41" fontId="17" fillId="0" borderId="0" xfId="3" applyNumberFormat="1" applyFont="1" applyFill="1" applyAlignment="1" applyProtection="1">
      <alignment vertical="center"/>
      <protection locked="0"/>
    </xf>
    <xf numFmtId="41" fontId="17" fillId="6" borderId="0" xfId="3" applyNumberFormat="1" applyFont="1" applyFill="1" applyAlignment="1" applyProtection="1">
      <alignment vertical="center"/>
      <protection locked="0"/>
    </xf>
    <xf numFmtId="0" fontId="7" fillId="0" borderId="0" xfId="0" applyFont="1" applyFill="1" applyAlignment="1" applyProtection="1">
      <alignment wrapText="1"/>
      <protection locked="0"/>
    </xf>
    <xf numFmtId="41" fontId="10" fillId="0" borderId="0" xfId="0" applyNumberFormat="1" applyFont="1" applyFill="1" applyAlignment="1" applyProtection="1">
      <alignment vertical="center"/>
      <protection locked="0"/>
    </xf>
    <xf numFmtId="0" fontId="39" fillId="0" borderId="0" xfId="0" applyFont="1" applyFill="1" applyAlignment="1" applyProtection="1">
      <alignment vertical="center"/>
      <protection locked="0"/>
    </xf>
    <xf numFmtId="0" fontId="13"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wrapText="1"/>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6" fillId="0" borderId="0" xfId="0" applyFont="1" applyFill="1" applyAlignment="1" applyProtection="1">
      <alignment vertical="center"/>
      <protection locked="0"/>
    </xf>
    <xf numFmtId="0" fontId="7" fillId="0" borderId="0" xfId="0" applyFont="1" applyFill="1" applyAlignment="1" applyProtection="1">
      <alignment horizontal="left" vertical="center" wrapText="1"/>
      <protection locked="0"/>
    </xf>
    <xf numFmtId="0" fontId="6" fillId="0" borderId="0" xfId="0" applyFont="1" applyFill="1" applyAlignment="1" applyProtection="1">
      <alignment vertical="center"/>
    </xf>
    <xf numFmtId="1" fontId="7" fillId="0" borderId="0" xfId="0" applyNumberFormat="1" applyFont="1" applyFill="1" applyBorder="1" applyAlignment="1" applyProtection="1">
      <alignment horizontal="center" vertical="center"/>
    </xf>
    <xf numFmtId="1" fontId="7" fillId="6" borderId="0" xfId="0" applyNumberFormat="1" applyFont="1" applyFill="1" applyBorder="1" applyAlignment="1" applyProtection="1">
      <alignment horizontal="center" vertical="center"/>
    </xf>
    <xf numFmtId="0" fontId="7" fillId="0" borderId="0" xfId="0" applyFont="1" applyFill="1" applyAlignment="1" applyProtection="1">
      <alignment horizontal="left" vertical="center" wrapText="1"/>
    </xf>
    <xf numFmtId="0" fontId="7" fillId="0" borderId="0" xfId="0" applyFont="1" applyFill="1" applyAlignment="1" applyProtection="1">
      <alignment horizontal="center" vertical="center" wrapText="1"/>
    </xf>
    <xf numFmtId="0" fontId="7" fillId="6" borderId="0" xfId="0" applyFont="1" applyFill="1" applyAlignment="1" applyProtection="1">
      <alignment horizontal="center" vertical="center" wrapText="1"/>
    </xf>
    <xf numFmtId="0" fontId="41" fillId="0" borderId="0" xfId="0" applyFont="1" applyFill="1" applyAlignment="1" applyProtection="1">
      <alignment vertical="center"/>
    </xf>
    <xf numFmtId="41" fontId="2" fillId="0" borderId="0" xfId="3" applyNumberFormat="1" applyFont="1" applyFill="1" applyAlignment="1" applyProtection="1">
      <alignment vertical="center"/>
    </xf>
    <xf numFmtId="41" fontId="2" fillId="6" borderId="0" xfId="3" applyNumberFormat="1" applyFont="1" applyFill="1" applyAlignment="1" applyProtection="1">
      <alignment vertical="center"/>
    </xf>
    <xf numFmtId="41" fontId="2" fillId="0" borderId="1" xfId="3" applyNumberFormat="1" applyFont="1" applyFill="1" applyBorder="1" applyAlignment="1" applyProtection="1">
      <alignment vertical="center"/>
    </xf>
    <xf numFmtId="41" fontId="2" fillId="0" borderId="0" xfId="3" applyNumberFormat="1" applyFont="1" applyFill="1" applyBorder="1" applyAlignment="1" applyProtection="1">
      <alignment vertical="center"/>
    </xf>
    <xf numFmtId="41" fontId="2" fillId="0" borderId="2" xfId="3" applyNumberFormat="1" applyFont="1" applyFill="1" applyBorder="1" applyAlignment="1" applyProtection="1">
      <alignment vertical="center"/>
    </xf>
    <xf numFmtId="41" fontId="2" fillId="6" borderId="0" xfId="3" applyNumberFormat="1" applyFont="1" applyFill="1" applyBorder="1" applyAlignment="1" applyProtection="1">
      <alignment vertical="center"/>
    </xf>
    <xf numFmtId="41" fontId="2" fillId="0" borderId="0" xfId="0" applyNumberFormat="1" applyFont="1" applyFill="1" applyAlignment="1" applyProtection="1">
      <alignment vertical="center"/>
    </xf>
    <xf numFmtId="41" fontId="16" fillId="0" borderId="0" xfId="3" applyNumberFormat="1" applyFont="1" applyFill="1" applyAlignment="1" applyProtection="1">
      <alignment vertical="center"/>
    </xf>
    <xf numFmtId="41" fontId="16" fillId="0" borderId="0" xfId="3" applyNumberFormat="1" applyFont="1" applyFill="1" applyBorder="1" applyAlignment="1" applyProtection="1">
      <alignment vertical="center"/>
    </xf>
    <xf numFmtId="41" fontId="6" fillId="0" borderId="0" xfId="0" applyNumberFormat="1" applyFont="1" applyFill="1" applyAlignment="1" applyProtection="1">
      <alignment vertical="center"/>
    </xf>
    <xf numFmtId="41" fontId="6" fillId="6" borderId="0" xfId="0" applyNumberFormat="1" applyFont="1" applyFill="1" applyAlignment="1" applyProtection="1">
      <alignment vertical="center"/>
    </xf>
    <xf numFmtId="41" fontId="7" fillId="0" borderId="0" xfId="0" applyNumberFormat="1" applyFont="1" applyFill="1" applyAlignment="1" applyProtection="1">
      <alignment vertical="center"/>
    </xf>
    <xf numFmtId="41" fontId="7" fillId="6" borderId="0" xfId="0" applyNumberFormat="1" applyFont="1" applyFill="1" applyAlignment="1" applyProtection="1">
      <alignment vertical="center"/>
    </xf>
    <xf numFmtId="41" fontId="3" fillId="0" borderId="2" xfId="3" applyNumberFormat="1" applyFont="1" applyFill="1" applyBorder="1" applyAlignment="1" applyProtection="1">
      <alignment vertical="center"/>
    </xf>
    <xf numFmtId="41" fontId="3" fillId="6" borderId="0" xfId="0" applyNumberFormat="1" applyFont="1" applyFill="1" applyAlignment="1" applyProtection="1">
      <alignment vertical="center"/>
    </xf>
    <xf numFmtId="41" fontId="2" fillId="0" borderId="0" xfId="3" applyNumberFormat="1" applyFont="1" applyFill="1" applyAlignment="1" applyProtection="1">
      <alignment horizontal="right" vertical="center"/>
    </xf>
    <xf numFmtId="41" fontId="3" fillId="6" borderId="0" xfId="3" applyNumberFormat="1" applyFont="1" applyFill="1" applyAlignment="1" applyProtection="1">
      <alignment vertical="center"/>
    </xf>
    <xf numFmtId="41" fontId="16" fillId="0" borderId="1" xfId="3" applyNumberFormat="1" applyFont="1" applyFill="1" applyBorder="1" applyAlignment="1" applyProtection="1">
      <alignment vertical="center"/>
    </xf>
    <xf numFmtId="41" fontId="3" fillId="6" borderId="0" xfId="3" applyNumberFormat="1" applyFont="1" applyFill="1" applyBorder="1" applyAlignment="1" applyProtection="1">
      <alignment horizontal="right" vertical="center"/>
    </xf>
    <xf numFmtId="41" fontId="6" fillId="0" borderId="0" xfId="3" applyNumberFormat="1" applyFont="1" applyFill="1" applyAlignment="1" applyProtection="1">
      <alignment horizontal="right" vertical="center"/>
    </xf>
    <xf numFmtId="41" fontId="16" fillId="0" borderId="2" xfId="3" applyNumberFormat="1" applyFont="1" applyFill="1" applyBorder="1" applyAlignment="1" applyProtection="1">
      <alignment vertical="center"/>
    </xf>
    <xf numFmtId="41" fontId="3" fillId="6" borderId="0" xfId="3" applyNumberFormat="1" applyFont="1" applyFill="1" applyAlignment="1" applyProtection="1">
      <alignment horizontal="right" vertical="center"/>
    </xf>
    <xf numFmtId="41" fontId="3" fillId="0" borderId="0" xfId="3" applyNumberFormat="1" applyFont="1" applyFill="1" applyAlignment="1" applyProtection="1">
      <alignment horizontal="right" vertical="center"/>
    </xf>
    <xf numFmtId="41" fontId="6" fillId="0" borderId="0" xfId="3" applyNumberFormat="1" applyFont="1" applyFill="1" applyAlignment="1" applyProtection="1">
      <alignment vertical="center"/>
    </xf>
    <xf numFmtId="41" fontId="6" fillId="6" borderId="0" xfId="3" applyNumberFormat="1" applyFont="1" applyFill="1" applyAlignment="1" applyProtection="1">
      <alignment vertical="center"/>
    </xf>
    <xf numFmtId="41" fontId="3" fillId="0" borderId="0" xfId="3" applyNumberFormat="1" applyFont="1" applyFill="1" applyAlignment="1" applyProtection="1">
      <alignment vertical="center"/>
    </xf>
    <xf numFmtId="41" fontId="3" fillId="0" borderId="0" xfId="3" applyNumberFormat="1" applyFont="1" applyFill="1" applyBorder="1" applyAlignment="1" applyProtection="1">
      <alignment horizontal="right" vertical="center"/>
    </xf>
    <xf numFmtId="41" fontId="3" fillId="0" borderId="0" xfId="3" applyNumberFormat="1" applyFont="1" applyFill="1" applyBorder="1" applyAlignment="1" applyProtection="1">
      <alignment vertical="center"/>
    </xf>
    <xf numFmtId="41" fontId="7" fillId="0" borderId="0" xfId="3" applyNumberFormat="1" applyFont="1" applyFill="1" applyAlignment="1" applyProtection="1">
      <alignment vertical="center"/>
    </xf>
    <xf numFmtId="41" fontId="7" fillId="6" borderId="0" xfId="3" applyNumberFormat="1" applyFont="1" applyFill="1" applyAlignment="1" applyProtection="1">
      <alignment vertical="center"/>
    </xf>
    <xf numFmtId="10" fontId="10" fillId="0" borderId="0" xfId="4" applyNumberFormat="1" applyFont="1" applyFill="1" applyAlignment="1" applyProtection="1">
      <alignment vertical="center"/>
    </xf>
    <xf numFmtId="10" fontId="10" fillId="6" borderId="0" xfId="4" applyNumberFormat="1" applyFont="1" applyFill="1" applyAlignment="1" applyProtection="1">
      <alignment vertical="center"/>
    </xf>
    <xf numFmtId="41" fontId="17" fillId="0" borderId="0" xfId="3" applyNumberFormat="1" applyFont="1" applyFill="1" applyAlignment="1" applyProtection="1">
      <alignment horizontal="right" vertical="center"/>
    </xf>
    <xf numFmtId="41" fontId="26" fillId="0" borderId="0" xfId="3" applyNumberFormat="1" applyFont="1" applyFill="1" applyBorder="1" applyAlignment="1" applyProtection="1">
      <alignment vertical="center"/>
    </xf>
    <xf numFmtId="41" fontId="16" fillId="0" borderId="0" xfId="3" applyNumberFormat="1" applyFont="1" applyFill="1" applyAlignment="1" applyProtection="1">
      <alignment horizontal="right" vertical="center"/>
    </xf>
    <xf numFmtId="41" fontId="34" fillId="0" borderId="0" xfId="3" applyNumberFormat="1" applyFont="1" applyFill="1" applyAlignment="1" applyProtection="1">
      <alignment vertical="center"/>
    </xf>
    <xf numFmtId="41" fontId="34" fillId="6" borderId="0" xfId="3" applyNumberFormat="1" applyFont="1" applyFill="1" applyAlignment="1" applyProtection="1">
      <alignment vertical="center"/>
    </xf>
    <xf numFmtId="41" fontId="9" fillId="0" borderId="0" xfId="3" applyNumberFormat="1" applyFont="1" applyFill="1" applyAlignment="1" applyProtection="1">
      <alignment vertical="center"/>
    </xf>
    <xf numFmtId="41" fontId="7" fillId="0" borderId="7" xfId="3" applyNumberFormat="1" applyFont="1" applyFill="1" applyBorder="1" applyAlignment="1" applyProtection="1">
      <alignment vertical="center"/>
    </xf>
    <xf numFmtId="41" fontId="7" fillId="6" borderId="7" xfId="3" applyNumberFormat="1" applyFont="1" applyFill="1" applyBorder="1" applyAlignment="1" applyProtection="1">
      <alignment vertical="center"/>
    </xf>
    <xf numFmtId="41" fontId="10" fillId="6" borderId="0" xfId="4" applyNumberFormat="1" applyFont="1" applyFill="1" applyAlignment="1" applyProtection="1">
      <alignment vertical="center"/>
    </xf>
    <xf numFmtId="41" fontId="17" fillId="0" borderId="0" xfId="3" applyNumberFormat="1" applyFont="1" applyFill="1" applyAlignment="1" applyProtection="1">
      <alignment vertical="center"/>
    </xf>
    <xf numFmtId="41" fontId="17" fillId="6" borderId="0" xfId="3" applyNumberFormat="1" applyFont="1" applyFill="1" applyAlignment="1" applyProtection="1">
      <alignment vertical="center"/>
    </xf>
    <xf numFmtId="41" fontId="3" fillId="6" borderId="0" xfId="3" applyNumberFormat="1" applyFont="1" applyFill="1" applyBorder="1" applyAlignment="1" applyProtection="1">
      <alignment vertical="center"/>
    </xf>
    <xf numFmtId="41" fontId="17" fillId="6" borderId="0" xfId="0" applyNumberFormat="1" applyFont="1" applyFill="1" applyAlignment="1" applyProtection="1">
      <alignment vertical="center"/>
    </xf>
    <xf numFmtId="41" fontId="17" fillId="0" borderId="0" xfId="0" applyNumberFormat="1" applyFont="1" applyFill="1" applyAlignment="1" applyProtection="1">
      <alignment vertical="center"/>
    </xf>
    <xf numFmtId="41" fontId="7" fillId="0" borderId="0" xfId="3" applyNumberFormat="1" applyFont="1" applyFill="1" applyAlignment="1" applyProtection="1">
      <alignment horizontal="center" vertical="center"/>
    </xf>
    <xf numFmtId="41" fontId="7" fillId="6" borderId="0" xfId="3" applyNumberFormat="1" applyFont="1" applyFill="1" applyAlignment="1" applyProtection="1">
      <alignment horizontal="center" vertical="center"/>
    </xf>
    <xf numFmtId="41" fontId="10" fillId="6" borderId="0" xfId="0" applyNumberFormat="1" applyFont="1" applyFill="1" applyAlignment="1" applyProtection="1">
      <alignment vertical="center"/>
    </xf>
    <xf numFmtId="41" fontId="10" fillId="0" borderId="0" xfId="4" applyNumberFormat="1" applyFont="1" applyFill="1" applyAlignment="1" applyProtection="1">
      <alignment horizontal="center" vertical="center"/>
    </xf>
    <xf numFmtId="41" fontId="10" fillId="0" borderId="0" xfId="3" applyNumberFormat="1" applyFont="1" applyFill="1" applyAlignment="1" applyProtection="1">
      <alignment vertical="center"/>
    </xf>
    <xf numFmtId="41" fontId="10" fillId="6" borderId="0" xfId="3" applyNumberFormat="1" applyFont="1" applyFill="1" applyAlignment="1" applyProtection="1">
      <alignment vertical="center"/>
    </xf>
    <xf numFmtId="41" fontId="15" fillId="0" borderId="0" xfId="0" applyNumberFormat="1" applyFont="1" applyFill="1" applyAlignment="1" applyProtection="1">
      <alignment vertical="center"/>
    </xf>
    <xf numFmtId="41" fontId="15" fillId="6" borderId="0" xfId="0" applyNumberFormat="1" applyFont="1" applyFill="1" applyAlignment="1" applyProtection="1">
      <alignment vertical="center"/>
    </xf>
    <xf numFmtId="41" fontId="33" fillId="0" borderId="0" xfId="3" applyNumberFormat="1" applyFont="1" applyFill="1" applyAlignment="1" applyProtection="1">
      <alignment vertical="center"/>
    </xf>
    <xf numFmtId="41" fontId="33" fillId="6" borderId="0" xfId="3" applyNumberFormat="1" applyFont="1" applyFill="1" applyAlignment="1" applyProtection="1">
      <alignment vertical="center"/>
    </xf>
    <xf numFmtId="168" fontId="6" fillId="0" borderId="0" xfId="0" applyNumberFormat="1" applyFont="1" applyFill="1" applyAlignment="1" applyProtection="1">
      <alignment vertical="center"/>
    </xf>
    <xf numFmtId="0" fontId="12"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readingOrder="1"/>
    </xf>
    <xf numFmtId="0" fontId="7" fillId="0" borderId="0" xfId="0" applyFont="1" applyFill="1" applyAlignment="1" applyProtection="1">
      <alignment horizontal="left" vertical="center"/>
    </xf>
    <xf numFmtId="0" fontId="7" fillId="0" borderId="0" xfId="0" applyFont="1" applyFill="1" applyAlignment="1" applyProtection="1">
      <alignment vertical="center"/>
    </xf>
    <xf numFmtId="0" fontId="7" fillId="0" borderId="0" xfId="0" applyFont="1" applyFill="1" applyAlignment="1" applyProtection="1">
      <alignment horizontal="center" vertical="center"/>
    </xf>
    <xf numFmtId="0" fontId="3" fillId="0" borderId="0" xfId="0" applyFont="1" applyFill="1" applyAlignment="1" applyProtection="1">
      <alignment vertical="center"/>
    </xf>
    <xf numFmtId="8" fontId="7" fillId="0" borderId="0" xfId="0" applyNumberFormat="1" applyFont="1" applyFill="1" applyAlignment="1" applyProtection="1">
      <alignment vertical="center"/>
    </xf>
    <xf numFmtId="165" fontId="7" fillId="0" borderId="0" xfId="0" applyNumberFormat="1" applyFont="1" applyFill="1" applyAlignment="1" applyProtection="1">
      <alignment vertical="center"/>
    </xf>
    <xf numFmtId="164" fontId="7" fillId="0" borderId="0" xfId="3" applyNumberFormat="1" applyFont="1" applyFill="1" applyAlignment="1" applyProtection="1">
      <alignment vertical="center"/>
    </xf>
    <xf numFmtId="10" fontId="7" fillId="0" borderId="0" xfId="4" applyNumberFormat="1" applyFont="1" applyFill="1" applyAlignment="1" applyProtection="1">
      <alignment vertical="center"/>
    </xf>
    <xf numFmtId="0" fontId="12" fillId="0" borderId="0" xfId="0" applyFont="1" applyFill="1" applyAlignment="1" applyProtection="1">
      <alignment vertical="center"/>
    </xf>
    <xf numFmtId="0" fontId="15" fillId="0" borderId="0" xfId="0" applyFont="1" applyFill="1" applyAlignment="1" applyProtection="1">
      <alignment horizontal="left" vertical="center"/>
    </xf>
    <xf numFmtId="10" fontId="6" fillId="0" borderId="0" xfId="4" applyNumberFormat="1" applyFont="1" applyFill="1" applyAlignment="1" applyProtection="1">
      <alignment vertical="center"/>
    </xf>
    <xf numFmtId="0" fontId="13" fillId="0" borderId="0" xfId="0" applyFont="1" applyFill="1" applyAlignment="1" applyProtection="1">
      <alignment vertical="center"/>
    </xf>
    <xf numFmtId="0" fontId="9" fillId="0" borderId="0" xfId="0" applyFont="1" applyFill="1" applyAlignment="1" applyProtection="1">
      <alignment horizontal="left" vertical="center"/>
    </xf>
    <xf numFmtId="0" fontId="9" fillId="0" borderId="0" xfId="0" applyFont="1" applyFill="1" applyAlignment="1" applyProtection="1">
      <alignment vertical="center"/>
    </xf>
    <xf numFmtId="0" fontId="8" fillId="0" borderId="0" xfId="0" applyFont="1" applyFill="1" applyAlignment="1" applyProtection="1">
      <alignment horizontal="left" vertical="center" wrapText="1"/>
    </xf>
    <xf numFmtId="0" fontId="10" fillId="0" borderId="0" xfId="0" applyFont="1" applyFill="1" applyAlignment="1" applyProtection="1">
      <alignment horizontal="left" vertical="center"/>
    </xf>
    <xf numFmtId="164" fontId="7" fillId="0" borderId="0" xfId="3" applyNumberFormat="1" applyFont="1" applyFill="1" applyAlignment="1" applyProtection="1">
      <alignment horizontal="left" vertical="center"/>
    </xf>
    <xf numFmtId="0" fontId="2" fillId="0" borderId="0" xfId="0" applyFont="1" applyFill="1" applyAlignment="1" applyProtection="1">
      <alignment horizontal="left" vertical="center" readingOrder="1"/>
    </xf>
    <xf numFmtId="0" fontId="10" fillId="0" borderId="0" xfId="0" applyFont="1" applyFill="1" applyAlignment="1" applyProtection="1">
      <alignment vertical="center"/>
    </xf>
    <xf numFmtId="0" fontId="6" fillId="7" borderId="0" xfId="0" applyFont="1" applyFill="1" applyAlignment="1" applyProtection="1">
      <alignment vertical="center"/>
    </xf>
    <xf numFmtId="0" fontId="10"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40" fillId="0" borderId="0" xfId="0" applyFont="1" applyFill="1" applyAlignment="1" applyProtection="1">
      <alignment vertical="center"/>
    </xf>
    <xf numFmtId="41" fontId="3" fillId="0" borderId="0" xfId="0" applyNumberFormat="1" applyFont="1" applyFill="1" applyAlignment="1" applyProtection="1">
      <alignment vertical="center"/>
    </xf>
    <xf numFmtId="164" fontId="6" fillId="0" borderId="0" xfId="3" applyNumberFormat="1" applyFont="1" applyFill="1" applyAlignment="1" applyProtection="1">
      <alignment vertical="center"/>
    </xf>
    <xf numFmtId="164" fontId="7" fillId="0" borderId="0" xfId="0" applyNumberFormat="1" applyFont="1" applyFill="1" applyAlignment="1" applyProtection="1">
      <alignment vertical="center"/>
    </xf>
    <xf numFmtId="164" fontId="10" fillId="0" borderId="0" xfId="3" applyNumberFormat="1" applyFont="1" applyFill="1" applyAlignment="1" applyProtection="1">
      <alignment vertical="center"/>
    </xf>
    <xf numFmtId="0" fontId="18" fillId="8" borderId="0" xfId="0" applyFont="1" applyFill="1" applyAlignment="1">
      <alignment vertical="center"/>
    </xf>
    <xf numFmtId="37" fontId="18" fillId="8" borderId="0" xfId="0" applyNumberFormat="1" applyFont="1" applyFill="1" applyAlignment="1" applyProtection="1">
      <alignment vertical="center"/>
    </xf>
    <xf numFmtId="43" fontId="18" fillId="8" borderId="0" xfId="3" applyFont="1" applyFill="1" applyAlignment="1" applyProtection="1">
      <alignment vertical="center"/>
    </xf>
    <xf numFmtId="0" fontId="18" fillId="8" borderId="0" xfId="0" applyFont="1" applyFill="1" applyAlignment="1">
      <alignment horizontal="center" vertical="center"/>
    </xf>
    <xf numFmtId="0" fontId="18" fillId="8" borderId="0" xfId="0" applyFont="1" applyFill="1" applyAlignment="1"/>
    <xf numFmtId="164" fontId="18" fillId="8" borderId="0" xfId="3" applyNumberFormat="1" applyFont="1" applyFill="1" applyAlignment="1" applyProtection="1">
      <alignment vertical="center"/>
    </xf>
    <xf numFmtId="164" fontId="18" fillId="8" borderId="0" xfId="0" applyNumberFormat="1" applyFont="1" applyFill="1" applyAlignment="1">
      <alignment vertical="center"/>
    </xf>
    <xf numFmtId="0" fontId="18" fillId="5" borderId="0" xfId="0" applyFont="1" applyFill="1" applyAlignment="1">
      <alignment vertical="center"/>
    </xf>
    <xf numFmtId="37" fontId="18" fillId="5" borderId="0" xfId="0" applyNumberFormat="1" applyFont="1" applyFill="1" applyAlignment="1" applyProtection="1">
      <alignment vertical="center"/>
    </xf>
    <xf numFmtId="164" fontId="18" fillId="5" borderId="0" xfId="3" applyNumberFormat="1" applyFont="1" applyFill="1" applyAlignment="1" applyProtection="1">
      <alignment vertical="center"/>
    </xf>
    <xf numFmtId="164" fontId="18" fillId="5" borderId="0" xfId="3" applyNumberFormat="1" applyFont="1" applyFill="1" applyAlignment="1">
      <alignment vertical="center"/>
    </xf>
    <xf numFmtId="164" fontId="18" fillId="5" borderId="0" xfId="3" applyNumberFormat="1" applyFont="1" applyFill="1" applyAlignment="1">
      <alignment horizontal="center" vertical="center"/>
    </xf>
    <xf numFmtId="0" fontId="18" fillId="5" borderId="0" xfId="0" applyFont="1" applyFill="1" applyAlignment="1"/>
    <xf numFmtId="43" fontId="18" fillId="5" borderId="0" xfId="3" applyFont="1" applyFill="1" applyAlignment="1" applyProtection="1">
      <alignment vertical="center"/>
    </xf>
    <xf numFmtId="0" fontId="18" fillId="5" borderId="0" xfId="0" applyFont="1" applyFill="1" applyAlignment="1">
      <alignment horizontal="center" vertical="center"/>
    </xf>
    <xf numFmtId="0" fontId="18" fillId="5" borderId="0" xfId="0" applyFont="1" applyFill="1" applyAlignment="1">
      <alignment horizontal="center"/>
    </xf>
    <xf numFmtId="164" fontId="2" fillId="5" borderId="0" xfId="0" applyNumberFormat="1" applyFont="1" applyFill="1" applyAlignment="1"/>
    <xf numFmtId="0" fontId="18" fillId="8" borderId="0" xfId="0" applyFont="1" applyFill="1" applyAlignment="1">
      <alignment horizontal="center"/>
    </xf>
    <xf numFmtId="164" fontId="2" fillId="8" borderId="0" xfId="0" applyNumberFormat="1" applyFont="1" applyFill="1" applyAlignment="1"/>
    <xf numFmtId="0" fontId="28" fillId="8" borderId="0" xfId="0" applyFont="1" applyFill="1" applyAlignment="1"/>
    <xf numFmtId="164" fontId="2" fillId="5" borderId="0" xfId="3" applyNumberFormat="1" applyFont="1" applyFill="1"/>
    <xf numFmtId="0" fontId="28" fillId="5" borderId="0" xfId="0" applyFont="1" applyFill="1" applyAlignment="1"/>
    <xf numFmtId="43" fontId="18" fillId="0" borderId="0" xfId="3"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10" fillId="0" borderId="0" xfId="0" applyFont="1" applyFill="1" applyAlignment="1" applyProtection="1">
      <alignment horizontal="center" vertical="center"/>
    </xf>
    <xf numFmtId="0" fontId="45" fillId="7" borderId="0" xfId="0" applyFont="1" applyFill="1" applyAlignment="1" applyProtection="1">
      <alignment vertical="center"/>
    </xf>
    <xf numFmtId="0" fontId="46" fillId="7" borderId="0" xfId="0" applyFont="1" applyFill="1" applyAlignment="1" applyProtection="1">
      <alignment vertical="center"/>
    </xf>
    <xf numFmtId="164" fontId="46" fillId="7" borderId="0" xfId="3" applyNumberFormat="1" applyFont="1" applyFill="1" applyAlignment="1" applyProtection="1">
      <alignment vertical="center"/>
    </xf>
    <xf numFmtId="41" fontId="46" fillId="7" borderId="0" xfId="0" applyNumberFormat="1" applyFont="1" applyFill="1" applyAlignment="1" applyProtection="1">
      <alignment vertical="center"/>
    </xf>
    <xf numFmtId="41" fontId="46" fillId="7" borderId="0" xfId="3" applyNumberFormat="1" applyFont="1" applyFill="1" applyAlignment="1" applyProtection="1">
      <alignment vertical="center"/>
    </xf>
    <xf numFmtId="0" fontId="47" fillId="7" borderId="0" xfId="0" applyFont="1" applyFill="1" applyAlignment="1" applyProtection="1">
      <alignment vertical="center"/>
    </xf>
    <xf numFmtId="41" fontId="46" fillId="7" borderId="0" xfId="4" applyNumberFormat="1" applyFont="1" applyFill="1" applyAlignment="1" applyProtection="1">
      <alignment vertical="center"/>
    </xf>
    <xf numFmtId="0" fontId="46" fillId="0" borderId="0" xfId="0" applyFont="1" applyFill="1" applyAlignment="1" applyProtection="1">
      <alignment vertical="center"/>
    </xf>
    <xf numFmtId="0" fontId="47"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41" fontId="2" fillId="0" borderId="1" xfId="3" applyNumberFormat="1" applyFont="1" applyFill="1" applyBorder="1" applyAlignment="1" applyProtection="1">
      <alignment horizontal="center" vertical="center"/>
      <protection locked="0"/>
    </xf>
    <xf numFmtId="41" fontId="2" fillId="0" borderId="0" xfId="0" applyNumberFormat="1" applyFont="1" applyFill="1" applyAlignment="1" applyProtection="1">
      <alignment horizontal="center" vertical="center"/>
      <protection locked="0"/>
    </xf>
    <xf numFmtId="164" fontId="2" fillId="0" borderId="0" xfId="3" applyNumberFormat="1" applyFont="1" applyFill="1" applyAlignment="1" applyProtection="1">
      <alignment horizontal="center" vertical="center"/>
      <protection locked="0"/>
    </xf>
    <xf numFmtId="164" fontId="3" fillId="0" borderId="0" xfId="3" applyNumberFormat="1" applyFont="1" applyFill="1" applyBorder="1" applyAlignment="1" applyProtection="1">
      <alignment horizontal="center" vertical="center"/>
    </xf>
    <xf numFmtId="164" fontId="2" fillId="0" borderId="1" xfId="3" applyNumberFormat="1" applyFont="1" applyFill="1" applyBorder="1" applyAlignment="1" applyProtection="1">
      <alignment horizontal="center" vertical="center"/>
      <protection locked="0"/>
    </xf>
    <xf numFmtId="164" fontId="2" fillId="0" borderId="0" xfId="3" applyNumberFormat="1" applyFont="1" applyFill="1" applyBorder="1" applyAlignment="1" applyProtection="1">
      <alignment horizontal="center" vertical="center"/>
      <protection locked="0"/>
    </xf>
    <xf numFmtId="164" fontId="6" fillId="0" borderId="0" xfId="3" applyNumberFormat="1" applyFont="1" applyFill="1" applyAlignment="1" applyProtection="1">
      <alignment horizontal="center" vertical="center"/>
    </xf>
    <xf numFmtId="10" fontId="6" fillId="0" borderId="0" xfId="4" applyNumberFormat="1" applyFont="1" applyFill="1" applyAlignment="1" applyProtection="1">
      <alignment horizontal="center" vertical="center"/>
    </xf>
    <xf numFmtId="41" fontId="7" fillId="0" borderId="0" xfId="0" applyNumberFormat="1" applyFont="1" applyFill="1" applyAlignment="1" applyProtection="1">
      <alignment horizontal="center" vertical="center"/>
    </xf>
    <xf numFmtId="41" fontId="2" fillId="0" borderId="0" xfId="3" applyNumberFormat="1" applyFont="1" applyFill="1" applyBorder="1" applyAlignment="1" applyProtection="1">
      <alignment horizontal="center" vertical="center"/>
      <protection locked="0"/>
    </xf>
    <xf numFmtId="164" fontId="2" fillId="0" borderId="2" xfId="3" applyNumberFormat="1" applyFont="1" applyFill="1" applyBorder="1" applyAlignment="1" applyProtection="1">
      <alignment horizontal="center" vertical="center"/>
      <protection locked="0"/>
    </xf>
    <xf numFmtId="164" fontId="2" fillId="0" borderId="0" xfId="3" applyNumberFormat="1" applyFont="1" applyFill="1" applyAlignment="1" applyProtection="1">
      <alignment horizontal="center" vertical="center"/>
    </xf>
    <xf numFmtId="41" fontId="2" fillId="0" borderId="0" xfId="3" applyNumberFormat="1" applyFont="1" applyFill="1" applyBorder="1" applyAlignment="1" applyProtection="1">
      <alignment horizontal="center" vertical="center"/>
    </xf>
    <xf numFmtId="41" fontId="6" fillId="0" borderId="0" xfId="0" applyNumberFormat="1" applyFont="1" applyFill="1" applyAlignment="1" applyProtection="1">
      <alignment horizontal="center" vertical="center"/>
    </xf>
    <xf numFmtId="41" fontId="16" fillId="0" borderId="0" xfId="3" applyNumberFormat="1" applyFont="1" applyFill="1" applyBorder="1" applyAlignment="1" applyProtection="1">
      <alignment horizontal="center" vertical="center"/>
      <protection locked="0"/>
    </xf>
    <xf numFmtId="164" fontId="10" fillId="0" borderId="0" xfId="0" applyNumberFormat="1" applyFont="1" applyFill="1" applyAlignment="1" applyProtection="1">
      <alignment horizontal="center" vertical="center"/>
      <protection locked="0"/>
    </xf>
    <xf numFmtId="164" fontId="10" fillId="0" borderId="0" xfId="3" applyNumberFormat="1" applyFont="1" applyFill="1" applyAlignment="1" applyProtection="1">
      <alignment horizontal="center" vertical="center"/>
    </xf>
    <xf numFmtId="9" fontId="10" fillId="0" borderId="0" xfId="4"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41" fontId="18" fillId="0" borderId="0" xfId="0"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13" fillId="0" borderId="0" xfId="0"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35"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168" fontId="7" fillId="0" borderId="0" xfId="0" applyNumberFormat="1" applyFont="1" applyFill="1" applyAlignment="1" applyProtection="1">
      <alignment vertical="center"/>
    </xf>
    <xf numFmtId="0" fontId="53" fillId="0" borderId="0" xfId="0" applyFont="1" applyFill="1" applyAlignment="1" applyProtection="1">
      <alignment vertical="center"/>
    </xf>
    <xf numFmtId="0" fontId="54" fillId="0" borderId="0" xfId="0" applyFont="1" applyFill="1" applyAlignment="1" applyProtection="1">
      <alignment vertical="center"/>
    </xf>
    <xf numFmtId="41" fontId="53" fillId="0" borderId="0" xfId="0" applyNumberFormat="1" applyFont="1" applyFill="1" applyAlignment="1" applyProtection="1">
      <alignment vertical="center"/>
    </xf>
    <xf numFmtId="41" fontId="53" fillId="6" borderId="0" xfId="0" applyNumberFormat="1" applyFont="1" applyFill="1" applyAlignment="1" applyProtection="1">
      <alignment vertical="center"/>
    </xf>
    <xf numFmtId="0" fontId="53" fillId="0" borderId="0" xfId="0" applyFont="1" applyFill="1" applyAlignment="1" applyProtection="1">
      <alignment horizontal="center" vertical="center"/>
    </xf>
    <xf numFmtId="0" fontId="55" fillId="0" borderId="0" xfId="0" applyFont="1" applyFill="1" applyAlignment="1" applyProtection="1">
      <alignment vertical="center"/>
    </xf>
    <xf numFmtId="0" fontId="56" fillId="0" borderId="0" xfId="0" applyFont="1" applyFill="1" applyAlignment="1" applyProtection="1">
      <alignment vertical="center"/>
    </xf>
    <xf numFmtId="41" fontId="55" fillId="0" borderId="0" xfId="0" applyNumberFormat="1" applyFont="1" applyFill="1" applyAlignment="1" applyProtection="1">
      <alignment vertical="center"/>
    </xf>
    <xf numFmtId="41" fontId="55" fillId="6" borderId="0" xfId="0" applyNumberFormat="1" applyFont="1" applyFill="1" applyAlignment="1" applyProtection="1">
      <alignment vertical="center"/>
    </xf>
    <xf numFmtId="0" fontId="55" fillId="0" borderId="0" xfId="0" applyFont="1" applyFill="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168" fontId="6" fillId="6" borderId="0" xfId="0" applyNumberFormat="1" applyFont="1" applyFill="1" applyAlignment="1" applyProtection="1">
      <alignment vertical="center"/>
      <protection locked="0"/>
    </xf>
    <xf numFmtId="168" fontId="6" fillId="0" borderId="0" xfId="0" applyNumberFormat="1" applyFont="1" applyFill="1" applyAlignment="1" applyProtection="1">
      <alignment vertical="center"/>
      <protection locked="0"/>
    </xf>
    <xf numFmtId="168" fontId="7" fillId="0" borderId="0" xfId="3" applyNumberFormat="1" applyFont="1" applyFill="1" applyAlignment="1" applyProtection="1">
      <alignment vertical="center"/>
    </xf>
    <xf numFmtId="168" fontId="10" fillId="0" borderId="0" xfId="4" applyNumberFormat="1" applyFont="1" applyFill="1" applyAlignment="1" applyProtection="1">
      <alignment vertical="center"/>
    </xf>
    <xf numFmtId="168" fontId="7" fillId="6" borderId="0" xfId="0" applyNumberFormat="1" applyFont="1" applyFill="1" applyAlignment="1" applyProtection="1">
      <alignment vertical="center"/>
      <protection locked="0"/>
    </xf>
    <xf numFmtId="168" fontId="7" fillId="0" borderId="0" xfId="0" applyNumberFormat="1" applyFont="1" applyFill="1" applyAlignment="1" applyProtection="1">
      <alignment vertical="center"/>
      <protection locked="0"/>
    </xf>
    <xf numFmtId="168" fontId="7" fillId="6" borderId="0" xfId="3" applyNumberFormat="1" applyFont="1" applyFill="1" applyAlignment="1" applyProtection="1">
      <alignment vertical="center"/>
      <protection locked="0"/>
    </xf>
    <xf numFmtId="168" fontId="7" fillId="0" borderId="0" xfId="3" applyNumberFormat="1" applyFont="1" applyFill="1" applyAlignment="1" applyProtection="1">
      <alignment vertical="center"/>
      <protection locked="0"/>
    </xf>
    <xf numFmtId="168" fontId="10" fillId="6" borderId="0" xfId="4" applyNumberFormat="1" applyFont="1" applyFill="1" applyAlignment="1" applyProtection="1">
      <alignment vertical="center"/>
      <protection locked="0"/>
    </xf>
    <xf numFmtId="168" fontId="10" fillId="0" borderId="0" xfId="4" applyNumberFormat="1" applyFont="1" applyFill="1" applyAlignment="1" applyProtection="1">
      <alignment vertical="center"/>
      <protection locked="0"/>
    </xf>
    <xf numFmtId="168" fontId="6" fillId="6" borderId="0" xfId="4" applyNumberFormat="1" applyFont="1" applyFill="1" applyAlignment="1" applyProtection="1">
      <alignment vertical="center"/>
      <protection locked="0"/>
    </xf>
    <xf numFmtId="168" fontId="6" fillId="0" borderId="0" xfId="4" applyNumberFormat="1" applyFont="1" applyFill="1" applyAlignment="1" applyProtection="1">
      <alignment vertical="center"/>
      <protection locked="0"/>
    </xf>
    <xf numFmtId="0" fontId="6" fillId="7" borderId="0" xfId="0" applyFont="1" applyFill="1" applyAlignment="1" applyProtection="1">
      <alignment vertical="center"/>
      <protection locked="0"/>
    </xf>
    <xf numFmtId="0" fontId="6" fillId="0" borderId="0" xfId="0" applyFont="1" applyFill="1" applyAlignment="1" applyProtection="1">
      <alignment vertical="center"/>
    </xf>
    <xf numFmtId="0" fontId="37" fillId="0" borderId="0" xfId="0" applyFont="1" applyFill="1" applyAlignment="1" applyProtection="1">
      <alignment horizontal="left" vertical="center" indent="1"/>
    </xf>
    <xf numFmtId="41" fontId="37" fillId="0" borderId="0" xfId="3" applyNumberFormat="1"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lignment vertical="center" wrapText="1"/>
    </xf>
    <xf numFmtId="0" fontId="48" fillId="0" borderId="0" xfId="0" applyFont="1" applyFill="1" applyAlignment="1" applyProtection="1">
      <alignment vertical="center"/>
      <protection locked="0"/>
    </xf>
    <xf numFmtId="0" fontId="46" fillId="0" borderId="0" xfId="0" applyFont="1" applyFill="1" applyAlignment="1" applyProtection="1">
      <alignment vertical="center"/>
      <protection locked="0"/>
    </xf>
    <xf numFmtId="0" fontId="6" fillId="0" borderId="0" xfId="0" applyFont="1" applyFill="1" applyAlignment="1" applyProtection="1">
      <alignment horizontal="left" vertical="center"/>
    </xf>
    <xf numFmtId="0" fontId="40" fillId="0" borderId="0" xfId="0" applyFont="1" applyFill="1" applyAlignment="1" applyProtection="1">
      <alignment horizontal="center" vertical="center"/>
    </xf>
    <xf numFmtId="0" fontId="6" fillId="0" borderId="0" xfId="0" applyFont="1" applyFill="1" applyAlignment="1" applyProtection="1">
      <alignment vertical="center"/>
    </xf>
    <xf numFmtId="41" fontId="37" fillId="0" borderId="0" xfId="0" applyNumberFormat="1" applyFont="1" applyFill="1" applyAlignment="1" applyProtection="1">
      <alignment vertical="center"/>
    </xf>
    <xf numFmtId="41" fontId="60" fillId="0" borderId="0" xfId="0" applyNumberFormat="1" applyFont="1" applyFill="1" applyAlignment="1" applyProtection="1">
      <alignment vertical="center"/>
    </xf>
    <xf numFmtId="0" fontId="26" fillId="0" borderId="0" xfId="0" applyFont="1" applyFill="1" applyAlignment="1" applyProtection="1">
      <alignment horizontal="left" vertical="center"/>
    </xf>
    <xf numFmtId="0" fontId="6" fillId="0" borderId="0" xfId="0" applyFont="1" applyFill="1" applyAlignment="1" applyProtection="1">
      <alignment vertical="center"/>
    </xf>
    <xf numFmtId="41" fontId="37" fillId="6" borderId="0" xfId="3" applyNumberFormat="1" applyFont="1" applyFill="1" applyAlignment="1" applyProtection="1">
      <alignment vertical="center"/>
    </xf>
    <xf numFmtId="41" fontId="37" fillId="6" borderId="0" xfId="0" applyNumberFormat="1" applyFont="1" applyFill="1" applyAlignment="1" applyProtection="1">
      <alignment vertical="center"/>
    </xf>
    <xf numFmtId="41" fontId="60" fillId="6" borderId="0" xfId="0" applyNumberFormat="1" applyFont="1" applyFill="1" applyAlignment="1" applyProtection="1">
      <alignment vertical="center"/>
    </xf>
    <xf numFmtId="41" fontId="9" fillId="6" borderId="0" xfId="3" applyNumberFormat="1" applyFont="1" applyFill="1" applyAlignment="1" applyProtection="1">
      <alignment vertical="center"/>
    </xf>
    <xf numFmtId="0" fontId="6" fillId="7"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0" fillId="0" borderId="0" xfId="0" applyFont="1" applyFill="1" applyAlignment="1">
      <alignment vertical="center"/>
    </xf>
    <xf numFmtId="0" fontId="25" fillId="0" borderId="0" xfId="0" applyFont="1" applyFill="1" applyAlignment="1">
      <alignment vertical="center"/>
    </xf>
    <xf numFmtId="0" fontId="6" fillId="0" borderId="0" xfId="0" applyFont="1" applyFill="1" applyAlignment="1" applyProtection="1">
      <alignment horizontal="left" vertical="center"/>
    </xf>
    <xf numFmtId="0" fontId="2" fillId="0" borderId="0" xfId="1" applyFont="1" applyFill="1" applyAlignment="1">
      <alignment horizontal="left" vertical="center" indent="1"/>
    </xf>
    <xf numFmtId="0" fontId="2" fillId="0" borderId="0" xfId="0" applyFont="1" applyFill="1" applyAlignment="1">
      <alignment horizontal="left" vertical="center" indent="1"/>
    </xf>
    <xf numFmtId="0" fontId="2" fillId="0" borderId="0" xfId="0" applyFont="1" applyFill="1" applyAlignment="1" applyProtection="1">
      <alignment horizontal="left" vertical="center" indent="1"/>
    </xf>
    <xf numFmtId="0" fontId="2" fillId="0" borderId="0" xfId="0" applyFont="1" applyFill="1" applyBorder="1" applyAlignment="1" applyProtection="1">
      <alignment horizontal="left" vertical="center" indent="1"/>
    </xf>
    <xf numFmtId="0" fontId="2" fillId="0" borderId="0" xfId="1" applyFont="1" applyFill="1" applyBorder="1" applyAlignment="1">
      <alignment horizontal="left" vertical="center" indent="1"/>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164" fontId="46" fillId="0" borderId="0" xfId="3" applyNumberFormat="1" applyFont="1" applyFill="1" applyAlignment="1" applyProtection="1">
      <alignment vertical="center"/>
    </xf>
    <xf numFmtId="0" fontId="6" fillId="0" borderId="0" xfId="0" applyFont="1" applyFill="1" applyAlignment="1" applyProtection="1">
      <alignment vertical="center"/>
    </xf>
    <xf numFmtId="0" fontId="46" fillId="0" borderId="0" xfId="0" applyFont="1" applyFill="1" applyAlignment="1" applyProtection="1">
      <alignment horizontal="center" vertical="center"/>
    </xf>
    <xf numFmtId="0" fontId="61" fillId="0" borderId="0" xfId="0" applyFont="1" applyFill="1" applyAlignment="1" applyProtection="1">
      <alignment vertical="center" textRotation="18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13" fillId="0" borderId="0" xfId="0" applyFont="1" applyFill="1" applyAlignment="1" applyProtection="1">
      <alignment horizontal="center" vertical="center"/>
      <protection locked="0"/>
    </xf>
    <xf numFmtId="0" fontId="6" fillId="0" borderId="0" xfId="0" applyFont="1" applyFill="1" applyAlignment="1" applyProtection="1">
      <alignment vertical="center"/>
    </xf>
    <xf numFmtId="43" fontId="10" fillId="6" borderId="0" xfId="3" applyFont="1" applyFill="1" applyAlignment="1" applyProtection="1">
      <alignment vertical="center"/>
    </xf>
    <xf numFmtId="43" fontId="10" fillId="0" borderId="0" xfId="3" applyFont="1" applyFill="1" applyAlignment="1" applyProtection="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164" fontId="48" fillId="0" borderId="0" xfId="3" applyNumberFormat="1" applyFont="1" applyFill="1" applyAlignment="1" applyProtection="1">
      <alignment vertical="center"/>
      <protection locked="0"/>
    </xf>
    <xf numFmtId="164" fontId="47" fillId="7" borderId="0" xfId="0" applyNumberFormat="1"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center" vertical="center"/>
    </xf>
    <xf numFmtId="0" fontId="52" fillId="0" borderId="0" xfId="0" applyFont="1" applyFill="1" applyAlignment="1" applyProtection="1">
      <alignment vertical="center"/>
      <protection locked="0"/>
    </xf>
    <xf numFmtId="41" fontId="24" fillId="0" borderId="0" xfId="0" applyNumberFormat="1" applyFont="1" applyFill="1" applyAlignment="1" applyProtection="1">
      <alignment vertical="center"/>
    </xf>
    <xf numFmtId="41" fontId="24" fillId="6" borderId="0" xfId="0" applyNumberFormat="1" applyFont="1" applyFill="1" applyAlignment="1" applyProtection="1">
      <alignment vertical="center"/>
    </xf>
    <xf numFmtId="41" fontId="2" fillId="6" borderId="0" xfId="0" applyNumberFormat="1"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46" fillId="7" borderId="0" xfId="0" applyFont="1" applyFill="1" applyAlignment="1" applyProtection="1">
      <alignment horizontal="center" vertical="center"/>
    </xf>
    <xf numFmtId="0" fontId="6" fillId="0" borderId="0" xfId="0" applyFont="1" applyFill="1" applyAlignment="1" applyProtection="1">
      <alignment horizontal="center" vertical="center"/>
    </xf>
    <xf numFmtId="41" fontId="6" fillId="0" borderId="0" xfId="0" applyNumberFormat="1" applyFont="1" applyFill="1" applyAlignment="1" applyProtection="1">
      <alignment horizontal="center" vertical="center"/>
      <protection locked="0"/>
    </xf>
    <xf numFmtId="0" fontId="0" fillId="0" borderId="0" xfId="0" applyFill="1" applyBorder="1">
      <alignment vertical="top"/>
    </xf>
    <xf numFmtId="10" fontId="18" fillId="0" borderId="0" xfId="4" applyNumberFormat="1" applyFont="1" applyFill="1" applyAlignment="1" applyProtection="1">
      <alignment vertical="center"/>
      <protection locked="0"/>
    </xf>
    <xf numFmtId="43" fontId="18" fillId="0" borderId="0" xfId="3"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48" fillId="7" borderId="0" xfId="0" applyFont="1" applyFill="1" applyAlignment="1">
      <alignment horizontal="center" vertical="center"/>
    </xf>
    <xf numFmtId="164" fontId="46" fillId="7" borderId="0" xfId="3" applyNumberFormat="1" applyFont="1" applyFill="1" applyAlignment="1">
      <alignment vertical="center"/>
    </xf>
    <xf numFmtId="0" fontId="46" fillId="7" borderId="0" xfId="0" applyFont="1" applyFill="1" applyAlignment="1">
      <alignment vertical="center"/>
    </xf>
    <xf numFmtId="167" fontId="48" fillId="7" borderId="0" xfId="5" applyNumberFormat="1" applyFont="1" applyFill="1" applyAlignment="1">
      <alignment horizontal="center" vertical="center"/>
    </xf>
    <xf numFmtId="167" fontId="46" fillId="7" borderId="0" xfId="5" applyNumberFormat="1" applyFont="1" applyFill="1" applyAlignment="1">
      <alignment vertical="center"/>
    </xf>
    <xf numFmtId="164" fontId="48" fillId="7" borderId="0" xfId="3" applyNumberFormat="1" applyFont="1" applyFill="1" applyAlignment="1">
      <alignment horizontal="center" vertical="center"/>
    </xf>
    <xf numFmtId="164" fontId="46" fillId="7" borderId="0" xfId="3" applyNumberFormat="1" applyFont="1" applyFill="1" applyBorder="1" applyAlignment="1">
      <alignment vertical="center"/>
    </xf>
    <xf numFmtId="0" fontId="46" fillId="7" borderId="0" xfId="0" applyFont="1" applyFill="1" applyBorder="1" applyAlignment="1">
      <alignment vertical="center"/>
    </xf>
    <xf numFmtId="164" fontId="46" fillId="7" borderId="0" xfId="3" applyNumberFormat="1" applyFont="1" applyFill="1" applyAlignment="1">
      <alignment horizontal="right" vertical="center"/>
    </xf>
    <xf numFmtId="0" fontId="2" fillId="0" borderId="0" xfId="0" applyFont="1" applyFill="1" applyAlignment="1">
      <alignment vertical="center" wrapText="1"/>
    </xf>
    <xf numFmtId="0" fontId="6" fillId="0" borderId="0" xfId="0" applyFont="1" applyAlignment="1">
      <alignment vertical="center" wrapText="1"/>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Alignment="1">
      <alignment vertical="center"/>
    </xf>
    <xf numFmtId="164" fontId="6" fillId="0" borderId="0" xfId="0" applyNumberFormat="1" applyFont="1" applyAlignment="1">
      <alignment vertical="center"/>
    </xf>
    <xf numFmtId="0" fontId="6" fillId="5" borderId="0" xfId="0" applyFont="1" applyFill="1" applyAlignment="1">
      <alignment vertical="center"/>
    </xf>
    <xf numFmtId="0" fontId="6" fillId="8" borderId="0" xfId="0" applyFont="1" applyFill="1" applyAlignment="1">
      <alignment vertical="center"/>
    </xf>
    <xf numFmtId="0" fontId="9" fillId="0" borderId="0" xfId="0" applyFont="1" applyFill="1" applyAlignment="1">
      <alignment vertical="center"/>
    </xf>
    <xf numFmtId="0" fontId="6" fillId="0" borderId="0" xfId="0" applyFont="1" applyFill="1" applyAlignment="1">
      <alignment vertical="center"/>
    </xf>
    <xf numFmtId="164" fontId="6" fillId="0" borderId="0" xfId="3" applyNumberFormat="1" applyFont="1" applyFill="1" applyAlignment="1">
      <alignment vertical="center" wrapText="1"/>
    </xf>
    <xf numFmtId="164" fontId="6" fillId="0" borderId="0" xfId="3" applyNumberFormat="1" applyFont="1" applyAlignment="1">
      <alignment vertical="center" wrapText="1"/>
    </xf>
    <xf numFmtId="0" fontId="6" fillId="0" borderId="0" xfId="0" applyFont="1" applyAlignment="1">
      <alignment horizontal="left" vertical="center" wrapText="1"/>
    </xf>
    <xf numFmtId="164" fontId="6" fillId="0" borderId="0" xfId="3" applyNumberFormat="1" applyFont="1" applyFill="1" applyAlignment="1">
      <alignment vertical="center"/>
    </xf>
    <xf numFmtId="164" fontId="6" fillId="0" borderId="0" xfId="3" applyNumberFormat="1" applyFont="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45" fillId="0" borderId="0" xfId="0" applyFont="1" applyFill="1" applyBorder="1" applyAlignment="1" applyProtection="1">
      <alignment horizontal="center" vertical="center"/>
      <protection locked="0"/>
    </xf>
    <xf numFmtId="0" fontId="47" fillId="0" borderId="0" xfId="0" applyFont="1" applyFill="1" applyAlignment="1" applyProtection="1">
      <alignment vertical="center"/>
      <protection locked="0"/>
    </xf>
    <xf numFmtId="164" fontId="46" fillId="0" borderId="0" xfId="3" applyNumberFormat="1" applyFont="1" applyFill="1" applyAlignment="1" applyProtection="1">
      <alignment vertical="center"/>
      <protection locked="0"/>
    </xf>
    <xf numFmtId="43" fontId="62" fillId="0" borderId="0" xfId="3" applyFont="1" applyFill="1" applyAlignment="1" applyProtection="1">
      <alignment vertical="center"/>
      <protection locked="0"/>
    </xf>
    <xf numFmtId="164" fontId="47" fillId="0" borderId="0" xfId="0" applyNumberFormat="1" applyFont="1" applyFill="1" applyAlignment="1" applyProtection="1">
      <alignment vertical="center"/>
    </xf>
    <xf numFmtId="43" fontId="46" fillId="0" borderId="0" xfId="3" applyFont="1" applyFill="1" applyAlignment="1" applyProtection="1">
      <alignment vertical="center"/>
      <protection locked="0"/>
    </xf>
    <xf numFmtId="164" fontId="50" fillId="0" borderId="0" xfId="3" applyNumberFormat="1" applyFont="1" applyFill="1" applyAlignment="1" applyProtection="1">
      <alignment vertical="center"/>
      <protection locked="0"/>
    </xf>
    <xf numFmtId="164" fontId="47" fillId="0" borderId="0" xfId="3" applyNumberFormat="1" applyFont="1" applyFill="1" applyAlignment="1" applyProtection="1">
      <alignment vertical="center"/>
    </xf>
    <xf numFmtId="10" fontId="48" fillId="0" borderId="0" xfId="4" applyNumberFormat="1"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164" fontId="18" fillId="0" borderId="0" xfId="3" applyNumberFormat="1" applyFont="1" applyFill="1" applyBorder="1" applyAlignment="1" applyProtection="1">
      <alignment vertical="center"/>
      <protection locked="0"/>
    </xf>
    <xf numFmtId="41" fontId="16" fillId="0" borderId="0" xfId="0" applyNumberFormat="1" applyFont="1" applyFill="1" applyAlignment="1" applyProtection="1">
      <alignment vertical="center"/>
    </xf>
    <xf numFmtId="41" fontId="16" fillId="6" borderId="0" xfId="0" applyNumberFormat="1" applyFont="1" applyFill="1" applyAlignment="1" applyProtection="1">
      <alignment vertical="center"/>
      <protection locked="0"/>
    </xf>
    <xf numFmtId="41" fontId="16" fillId="0" borderId="0" xfId="0" applyNumberFormat="1" applyFont="1" applyFill="1" applyAlignment="1" applyProtection="1">
      <alignment vertical="center"/>
      <protection locked="0"/>
    </xf>
    <xf numFmtId="0" fontId="46" fillId="7" borderId="0" xfId="0" applyFont="1" applyFill="1" applyAlignment="1" applyProtection="1">
      <alignment horizontal="center" vertical="center"/>
    </xf>
    <xf numFmtId="0" fontId="6" fillId="0" borderId="0" xfId="0" applyFont="1" applyFill="1" applyAlignment="1" applyProtection="1">
      <alignment vertical="center"/>
    </xf>
    <xf numFmtId="0" fontId="3" fillId="0" borderId="0" xfId="0" applyFont="1" applyFill="1" applyAlignment="1" applyProtection="1">
      <alignment horizontal="center" vertical="center"/>
    </xf>
    <xf numFmtId="0" fontId="6" fillId="0" borderId="0" xfId="0" applyFont="1" applyFill="1" applyAlignment="1" applyProtection="1">
      <alignment vertical="center"/>
    </xf>
    <xf numFmtId="41" fontId="46" fillId="0" borderId="0" xfId="0" applyNumberFormat="1" applyFont="1" applyFill="1" applyAlignment="1" applyProtection="1">
      <alignment vertical="center"/>
    </xf>
    <xf numFmtId="0" fontId="59"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168" fontId="47" fillId="0" borderId="0" xfId="3" applyNumberFormat="1" applyFont="1" applyFill="1" applyAlignment="1" applyProtection="1">
      <alignment vertical="center"/>
    </xf>
    <xf numFmtId="41" fontId="46" fillId="0" borderId="0" xfId="3" applyNumberFormat="1" applyFont="1" applyFill="1" applyAlignment="1" applyProtection="1">
      <alignment vertical="center"/>
      <protection locked="0"/>
    </xf>
    <xf numFmtId="0" fontId="46" fillId="0" borderId="0" xfId="0" applyFont="1" applyFill="1" applyAlignment="1" applyProtection="1">
      <alignment horizontal="center" vertical="center"/>
      <protection locked="0"/>
    </xf>
    <xf numFmtId="0" fontId="59" fillId="0" borderId="0" xfId="0"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41" fontId="2" fillId="6" borderId="1" xfId="3" applyNumberFormat="1" applyFont="1" applyFill="1" applyBorder="1" applyAlignment="1" applyProtection="1">
      <alignment vertical="center"/>
    </xf>
    <xf numFmtId="168" fontId="47" fillId="6" borderId="0" xfId="3" applyNumberFormat="1" applyFont="1" applyFill="1" applyAlignment="1" applyProtection="1">
      <alignment vertical="center"/>
    </xf>
    <xf numFmtId="0" fontId="37"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18" fillId="0" borderId="0" xfId="0" applyFont="1" applyFill="1" applyAlignment="1" applyProtection="1">
      <alignment horizontal="center" vertical="center"/>
      <protection locked="0"/>
    </xf>
    <xf numFmtId="0" fontId="24" fillId="0" borderId="0" xfId="0" applyFont="1" applyFill="1" applyAlignment="1" applyProtection="1">
      <alignment vertical="center"/>
      <protection locked="0"/>
    </xf>
    <xf numFmtId="0" fontId="2" fillId="0" borderId="0" xfId="0" applyFont="1" applyFill="1" applyAlignment="1" applyProtection="1">
      <alignment horizontal="center" vertical="center"/>
      <protection locked="0"/>
    </xf>
    <xf numFmtId="10" fontId="18" fillId="0" borderId="0" xfId="4" applyNumberFormat="1" applyFont="1" applyFill="1" applyAlignment="1" applyProtection="1">
      <alignment horizontal="center"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40"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45" fillId="7" borderId="0" xfId="0" applyFont="1" applyFill="1" applyAlignment="1" applyProtection="1">
      <alignment horizontal="center" vertical="center"/>
    </xf>
    <xf numFmtId="0" fontId="6" fillId="0" borderId="0" xfId="0" applyFont="1" applyFill="1" applyAlignment="1" applyProtection="1">
      <alignment vertical="center"/>
    </xf>
    <xf numFmtId="0" fontId="40"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41" fontId="33" fillId="0" borderId="0" xfId="0" applyNumberFormat="1" applyFont="1" applyFill="1" applyAlignment="1" applyProtection="1">
      <alignment vertical="center"/>
    </xf>
    <xf numFmtId="0" fontId="37" fillId="0" borderId="0" xfId="0" applyFont="1" applyFill="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6" fillId="0" borderId="0" xfId="0" applyFont="1" applyFill="1" applyAlignment="1" applyProtection="1">
      <alignment vertical="center"/>
    </xf>
    <xf numFmtId="164" fontId="10" fillId="6" borderId="0" xfId="3" applyNumberFormat="1" applyFont="1" applyFill="1" applyAlignment="1" applyProtection="1">
      <alignment vertical="center"/>
    </xf>
    <xf numFmtId="164" fontId="65" fillId="0" borderId="0" xfId="3" applyNumberFormat="1" applyFont="1" applyFill="1" applyAlignment="1" applyProtection="1">
      <alignment vertical="center"/>
    </xf>
    <xf numFmtId="164" fontId="65" fillId="6" borderId="0" xfId="3" applyNumberFormat="1" applyFont="1" applyFill="1" applyAlignment="1" applyProtection="1">
      <alignment vertical="center"/>
    </xf>
    <xf numFmtId="0" fontId="9" fillId="0" borderId="0" xfId="0" applyFont="1" applyFill="1" applyAlignment="1" applyProtection="1">
      <alignment horizontal="right" vertical="center"/>
    </xf>
    <xf numFmtId="164" fontId="9" fillId="0" borderId="0" xfId="3" applyNumberFormat="1" applyFont="1" applyFill="1" applyAlignment="1" applyProtection="1">
      <alignment vertical="center"/>
    </xf>
    <xf numFmtId="164" fontId="9" fillId="6" borderId="0" xfId="3" applyNumberFormat="1" applyFont="1" applyFill="1" applyAlignment="1" applyProtection="1">
      <alignment vertical="center"/>
    </xf>
    <xf numFmtId="0" fontId="6" fillId="0" borderId="0" xfId="0" applyFont="1" applyFill="1" applyAlignment="1" applyProtection="1">
      <alignment vertical="center"/>
    </xf>
    <xf numFmtId="0" fontId="26" fillId="0" borderId="0" xfId="0" applyFont="1" applyFill="1" applyBorder="1" applyAlignment="1" applyProtection="1">
      <alignment horizontal="center" vertical="center"/>
    </xf>
    <xf numFmtId="164" fontId="6" fillId="0" borderId="0" xfId="0" applyNumberFormat="1" applyFont="1" applyFill="1" applyAlignment="1" applyProtection="1">
      <alignment vertical="center"/>
      <protection locked="0"/>
    </xf>
    <xf numFmtId="0" fontId="6" fillId="0" borderId="0" xfId="0" applyFont="1" applyFill="1" applyAlignment="1" applyProtection="1">
      <alignment vertical="center"/>
    </xf>
    <xf numFmtId="0" fontId="7" fillId="0" borderId="0" xfId="0" applyFont="1" applyAlignment="1">
      <alignment vertical="center"/>
    </xf>
    <xf numFmtId="0" fontId="13" fillId="0" borderId="0" xfId="0" applyFont="1" applyFill="1" applyAlignment="1" applyProtection="1">
      <alignment horizontal="center" vertical="center"/>
      <protection locked="0"/>
    </xf>
    <xf numFmtId="0" fontId="2" fillId="0" borderId="0" xfId="0" applyFont="1" applyFill="1" applyAlignment="1" applyProtection="1">
      <alignment horizontal="left" vertical="center"/>
    </xf>
    <xf numFmtId="0" fontId="6" fillId="0" borderId="0" xfId="0" applyFont="1" applyFill="1" applyAlignment="1" applyProtection="1">
      <alignment vertical="center"/>
    </xf>
    <xf numFmtId="0" fontId="52" fillId="0" borderId="0" xfId="0" applyFont="1" applyFill="1" applyAlignment="1" applyProtection="1">
      <alignment vertical="center"/>
    </xf>
    <xf numFmtId="164" fontId="2" fillId="8" borderId="0" xfId="0" applyNumberFormat="1" applyFont="1" applyFill="1" applyAlignment="1">
      <alignment vertical="center"/>
    </xf>
    <xf numFmtId="164" fontId="2" fillId="8" borderId="0" xfId="3" applyNumberFormat="1" applyFont="1" applyFill="1" applyAlignment="1">
      <alignment vertical="center"/>
    </xf>
    <xf numFmtId="164" fontId="18" fillId="8" borderId="0" xfId="3" applyNumberFormat="1" applyFont="1" applyFill="1" applyAlignment="1">
      <alignment horizontal="center" vertical="center"/>
    </xf>
    <xf numFmtId="164" fontId="18" fillId="8" borderId="0" xfId="3" applyNumberFormat="1" applyFont="1" applyFill="1" applyAlignment="1">
      <alignment vertical="center"/>
    </xf>
    <xf numFmtId="0" fontId="2" fillId="8" borderId="0" xfId="0" applyFont="1" applyFill="1" applyAlignment="1">
      <alignment horizontal="center" vertical="center"/>
    </xf>
    <xf numFmtId="0" fontId="40" fillId="0" borderId="0" xfId="0" applyFont="1" applyFill="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horizontal="center" vertical="center"/>
    </xf>
    <xf numFmtId="41" fontId="46" fillId="6" borderId="0" xfId="0" applyNumberFormat="1" applyFont="1" applyFill="1" applyAlignment="1" applyProtection="1">
      <alignment vertical="center"/>
    </xf>
    <xf numFmtId="41" fontId="16" fillId="6" borderId="0" xfId="0" applyNumberFormat="1"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center" vertical="center"/>
    </xf>
    <xf numFmtId="0" fontId="6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10" fontId="6" fillId="0" borderId="0" xfId="4"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13" fillId="0" borderId="0" xfId="0" applyFont="1" applyFill="1" applyAlignment="1" applyProtection="1">
      <alignment horizontal="center" vertical="center"/>
      <protection locked="0"/>
    </xf>
    <xf numFmtId="0" fontId="6" fillId="0" borderId="0" xfId="0" applyFont="1" applyFill="1" applyAlignment="1" applyProtection="1">
      <alignment vertical="center"/>
    </xf>
    <xf numFmtId="0" fontId="59" fillId="0" borderId="0" xfId="0" applyFont="1" applyFill="1" applyAlignment="1" applyProtection="1">
      <alignment horizontal="center" vertical="center"/>
      <protection locked="0"/>
    </xf>
    <xf numFmtId="10" fontId="6" fillId="0" borderId="0" xfId="0" applyNumberFormat="1" applyFont="1" applyFill="1" applyAlignment="1" applyProtection="1">
      <alignment vertical="center"/>
    </xf>
    <xf numFmtId="0" fontId="48" fillId="0" borderId="0" xfId="0" applyFont="1" applyFill="1" applyAlignment="1" applyProtection="1">
      <alignment horizontal="center" vertical="center"/>
      <protection locked="0"/>
    </xf>
    <xf numFmtId="10" fontId="48" fillId="0" borderId="0" xfId="4" applyNumberFormat="1" applyFont="1" applyFill="1" applyAlignment="1" applyProtection="1">
      <alignment horizontal="center" vertical="center"/>
      <protection locked="0"/>
    </xf>
    <xf numFmtId="10" fontId="48" fillId="0" borderId="0" xfId="4" applyNumberFormat="1" applyFont="1" applyFill="1" applyAlignment="1" applyProtection="1">
      <alignment vertical="center"/>
      <protection locked="0"/>
    </xf>
    <xf numFmtId="41" fontId="46" fillId="0" borderId="0" xfId="0" applyNumberFormat="1" applyFont="1" applyFill="1" applyAlignment="1" applyProtection="1">
      <alignment vertical="center"/>
      <protection locked="0"/>
    </xf>
    <xf numFmtId="43" fontId="47" fillId="0" borderId="0" xfId="3" applyFont="1" applyFill="1" applyAlignment="1" applyProtection="1">
      <alignment vertical="center"/>
      <protection locked="0"/>
    </xf>
    <xf numFmtId="1" fontId="52" fillId="0" borderId="0" xfId="0" applyNumberFormat="1" applyFont="1" applyFill="1" applyBorder="1" applyAlignment="1" applyProtection="1">
      <alignment horizontal="center" vertical="center"/>
    </xf>
    <xf numFmtId="0" fontId="57" fillId="0" borderId="0" xfId="0" applyFont="1" applyFill="1" applyAlignment="1" applyProtection="1">
      <alignment vertical="center"/>
      <protection locked="0"/>
    </xf>
    <xf numFmtId="43" fontId="50" fillId="0" borderId="0" xfId="3" applyFont="1" applyFill="1" applyAlignment="1" applyProtection="1">
      <alignment vertical="center"/>
      <protection locked="0"/>
    </xf>
    <xf numFmtId="43" fontId="46" fillId="0" borderId="0" xfId="0" applyNumberFormat="1" applyFont="1" applyFill="1" applyAlignment="1" applyProtection="1">
      <alignment vertical="center"/>
      <protection locked="0"/>
    </xf>
    <xf numFmtId="43" fontId="58" fillId="0" borderId="0" xfId="0" applyNumberFormat="1" applyFont="1" applyFill="1" applyAlignment="1" applyProtection="1">
      <alignment vertical="center"/>
      <protection locked="0"/>
    </xf>
    <xf numFmtId="43" fontId="51" fillId="0" borderId="0" xfId="0" applyNumberFormat="1" applyFont="1" applyFill="1" applyBorder="1" applyAlignment="1" applyProtection="1">
      <alignment vertical="center"/>
      <protection locked="0"/>
    </xf>
    <xf numFmtId="164" fontId="48" fillId="0" borderId="0" xfId="3" applyNumberFormat="1" applyFont="1" applyFill="1" applyAlignment="1" applyProtection="1">
      <alignment horizontal="center" vertical="center"/>
      <protection locked="0"/>
    </xf>
    <xf numFmtId="164" fontId="59" fillId="0" borderId="0" xfId="0" applyNumberFormat="1" applyFont="1" applyFill="1" applyAlignment="1" applyProtection="1">
      <alignment horizontal="center" vertical="center"/>
      <protection locked="0"/>
    </xf>
    <xf numFmtId="41" fontId="46" fillId="0" borderId="1" xfId="3" applyNumberFormat="1" applyFont="1" applyFill="1" applyBorder="1" applyAlignment="1" applyProtection="1">
      <alignment vertical="center"/>
      <protection locked="0"/>
    </xf>
    <xf numFmtId="0" fontId="52" fillId="0" borderId="0" xfId="0" applyFont="1" applyFill="1" applyAlignment="1" applyProtection="1">
      <alignment horizontal="center" vertical="center"/>
      <protection locked="0"/>
    </xf>
    <xf numFmtId="43" fontId="48" fillId="0" borderId="0" xfId="3" applyFont="1" applyFill="1" applyAlignment="1" applyProtection="1">
      <alignment vertical="center"/>
      <protection locked="0"/>
    </xf>
    <xf numFmtId="0" fontId="45" fillId="0" borderId="0" xfId="0" applyFont="1" applyFill="1" applyAlignment="1" applyProtection="1">
      <alignment horizontal="center" vertical="center"/>
    </xf>
    <xf numFmtId="0" fontId="64" fillId="0" borderId="0" xfId="0" applyFont="1" applyFill="1" applyAlignment="1" applyProtection="1">
      <alignment vertical="center"/>
    </xf>
    <xf numFmtId="164" fontId="46" fillId="0" borderId="0" xfId="0" applyNumberFormat="1" applyFont="1" applyFill="1" applyAlignment="1" applyProtection="1">
      <alignment vertical="center"/>
    </xf>
    <xf numFmtId="164" fontId="64" fillId="0" borderId="0" xfId="0" applyNumberFormat="1" applyFont="1" applyFill="1" applyAlignment="1" applyProtection="1">
      <alignment vertical="center"/>
    </xf>
    <xf numFmtId="0" fontId="0" fillId="0" borderId="0" xfId="0" applyFill="1" applyAlignment="1">
      <alignment vertical="top"/>
    </xf>
    <xf numFmtId="0" fontId="43" fillId="0" borderId="0" xfId="0" applyFont="1" applyFill="1" applyAlignment="1">
      <alignment vertical="top"/>
    </xf>
    <xf numFmtId="0" fontId="14" fillId="0" borderId="0" xfId="0" applyFont="1" applyFill="1" applyBorder="1">
      <alignment vertical="top"/>
    </xf>
    <xf numFmtId="0" fontId="44" fillId="0" borderId="0" xfId="0" applyFont="1" applyFill="1" applyBorder="1">
      <alignment vertical="top"/>
    </xf>
    <xf numFmtId="0" fontId="27" fillId="0" borderId="0" xfId="0" applyFont="1" applyFill="1" applyAlignment="1">
      <alignment horizontal="center" vertical="center"/>
    </xf>
    <xf numFmtId="164" fontId="48" fillId="0" borderId="0" xfId="3" applyNumberFormat="1" applyFont="1" applyFill="1" applyAlignment="1">
      <alignment vertical="center"/>
    </xf>
    <xf numFmtId="0" fontId="48" fillId="0" borderId="0" xfId="0" applyFont="1" applyFill="1" applyAlignment="1">
      <alignment vertical="center"/>
    </xf>
    <xf numFmtId="0" fontId="6" fillId="0" borderId="0" xfId="0" applyFont="1" applyFill="1" applyAlignment="1" applyProtection="1">
      <alignment vertical="center"/>
    </xf>
    <xf numFmtId="0" fontId="20" fillId="0" borderId="0" xfId="0" applyFont="1" applyFill="1" applyAlignment="1">
      <alignment horizontal="center" vertical="center"/>
    </xf>
    <xf numFmtId="0" fontId="25" fillId="0" borderId="0" xfId="0" applyFont="1" applyFill="1" applyAlignment="1">
      <alignment horizontal="center" vertical="center"/>
    </xf>
    <xf numFmtId="0" fontId="20" fillId="0" borderId="0" xfId="0" applyFont="1" applyAlignment="1">
      <alignment horizontal="center" vertical="center" wrapText="1"/>
    </xf>
    <xf numFmtId="0" fontId="2" fillId="0" borderId="0" xfId="0" applyFont="1" applyFill="1" applyAlignment="1">
      <alignment vertical="center" wrapText="1"/>
    </xf>
    <xf numFmtId="0" fontId="20" fillId="0" borderId="0" xfId="0" applyFont="1" applyAlignment="1">
      <alignment horizontal="center" vertical="center"/>
    </xf>
    <xf numFmtId="0" fontId="20" fillId="0" borderId="0" xfId="0" applyFont="1" applyFill="1" applyBorder="1" applyAlignment="1">
      <alignment horizontal="center" vertical="center" wrapText="1"/>
    </xf>
    <xf numFmtId="0" fontId="2" fillId="0" borderId="0" xfId="0" applyFont="1" applyAlignment="1">
      <alignment vertical="top" wrapText="1"/>
    </xf>
    <xf numFmtId="0" fontId="2" fillId="0" borderId="0" xfId="0" applyFont="1" applyFill="1" applyBorder="1" applyAlignment="1">
      <alignment vertical="center" wrapText="1"/>
    </xf>
    <xf numFmtId="0" fontId="2" fillId="0" borderId="0" xfId="0" applyFont="1" applyFill="1" applyAlignment="1">
      <alignment vertical="top" wrapText="1"/>
    </xf>
    <xf numFmtId="0" fontId="20" fillId="0" borderId="0" xfId="0" applyFont="1" applyFill="1" applyAlignment="1">
      <alignment horizontal="center" vertical="center" wrapText="1"/>
    </xf>
    <xf numFmtId="0" fontId="22" fillId="0" borderId="0" xfId="0" applyFont="1" applyAlignment="1">
      <alignment vertical="center" wrapText="1"/>
    </xf>
    <xf numFmtId="0" fontId="6" fillId="0" borderId="0" xfId="0" applyFont="1" applyBorder="1" applyAlignment="1">
      <alignment vertical="top" wrapText="1"/>
    </xf>
    <xf numFmtId="0" fontId="3" fillId="0" borderId="0" xfId="0" applyFont="1" applyFill="1" applyAlignment="1">
      <alignment horizontal="center" vertical="center" wrapText="1"/>
    </xf>
    <xf numFmtId="0" fontId="35" fillId="0" borderId="0" xfId="0" applyFont="1" applyFill="1" applyAlignment="1">
      <alignment vertical="center" wrapText="1"/>
    </xf>
    <xf numFmtId="0" fontId="6" fillId="0" borderId="0" xfId="0" applyFont="1" applyAlignment="1">
      <alignment vertical="center" wrapText="1"/>
    </xf>
    <xf numFmtId="0" fontId="45" fillId="0" borderId="0" xfId="0" applyFont="1" applyFill="1" applyAlignment="1" applyProtection="1">
      <alignment horizontal="center" vertical="center"/>
    </xf>
    <xf numFmtId="0" fontId="59" fillId="7" borderId="0" xfId="0" applyFont="1" applyFill="1" applyAlignment="1" applyProtection="1">
      <alignment horizontal="center" vertical="center" wrapText="1"/>
    </xf>
    <xf numFmtId="0" fontId="9"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49" fillId="7" borderId="0" xfId="0" applyFont="1" applyFill="1" applyAlignment="1" applyProtection="1">
      <alignment horizontal="center" vertical="center"/>
      <protection locked="0"/>
    </xf>
    <xf numFmtId="0" fontId="40" fillId="0" borderId="0" xfId="0" applyFont="1" applyFill="1" applyAlignment="1" applyProtection="1">
      <alignment horizontal="center" vertical="center"/>
    </xf>
    <xf numFmtId="0" fontId="41" fillId="0" borderId="0" xfId="0" applyFont="1" applyFill="1" applyAlignment="1" applyProtection="1">
      <alignment horizontal="center" vertical="center"/>
    </xf>
    <xf numFmtId="0" fontId="63" fillId="0" borderId="0" xfId="0" applyFont="1" applyFill="1" applyAlignment="1" applyProtection="1">
      <alignment horizontal="center" vertical="center"/>
    </xf>
    <xf numFmtId="0" fontId="13" fillId="0" borderId="0" xfId="0" applyFont="1" applyFill="1" applyAlignment="1" applyProtection="1">
      <alignment horizontal="center" vertical="center"/>
    </xf>
    <xf numFmtId="0" fontId="7"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45" fillId="7"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12" fillId="0" borderId="0" xfId="0" applyFont="1" applyFill="1" applyAlignment="1" applyProtection="1">
      <alignment horizontal="left" vertical="center"/>
    </xf>
    <xf numFmtId="0" fontId="7" fillId="0" borderId="0" xfId="0" applyFont="1" applyFill="1" applyAlignment="1" applyProtection="1">
      <alignment horizontal="left" vertical="center" wrapText="1"/>
    </xf>
    <xf numFmtId="0" fontId="2" fillId="0" borderId="0" xfId="0" applyFont="1" applyFill="1" applyAlignment="1" applyProtection="1">
      <alignment horizontal="left" vertical="center" shrinkToFit="1"/>
    </xf>
    <xf numFmtId="0" fontId="2" fillId="0" borderId="0" xfId="0" applyFont="1" applyFill="1" applyAlignment="1" applyProtection="1">
      <alignment vertical="center" shrinkToFit="1"/>
    </xf>
    <xf numFmtId="0" fontId="45" fillId="0" borderId="0" xfId="0" applyFont="1" applyFill="1" applyAlignment="1" applyProtection="1">
      <alignment horizontal="center" vertical="center"/>
      <protection locked="0"/>
    </xf>
    <xf numFmtId="0" fontId="7" fillId="0" borderId="0" xfId="0" applyFont="1" applyFill="1" applyAlignment="1" applyProtection="1">
      <alignment horizontal="center" vertical="center" textRotation="180"/>
    </xf>
    <xf numFmtId="0" fontId="52" fillId="0" borderId="0" xfId="0" applyFont="1" applyFill="1" applyAlignment="1" applyProtection="1">
      <alignment horizontal="center" vertical="center"/>
      <protection locked="0"/>
    </xf>
    <xf numFmtId="0" fontId="13" fillId="0" borderId="0" xfId="0" applyFont="1" applyFill="1" applyAlignment="1" applyProtection="1">
      <alignment horizontal="center" vertical="center"/>
      <protection locked="0"/>
    </xf>
    <xf numFmtId="0" fontId="6" fillId="0" borderId="0" xfId="0" applyFont="1" applyFill="1" applyAlignment="1" applyProtection="1">
      <alignment vertical="center"/>
    </xf>
    <xf numFmtId="0" fontId="2" fillId="0" borderId="0" xfId="0" applyFont="1" applyFill="1" applyAlignment="1">
      <alignment vertical="center" shrinkToFit="1"/>
    </xf>
    <xf numFmtId="0" fontId="24" fillId="0"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2" fillId="0" borderId="0" xfId="0" applyFont="1" applyFill="1" applyAlignment="1" applyProtection="1">
      <alignment horizontal="left" vertical="center"/>
    </xf>
  </cellXfs>
  <cellStyles count="6">
    <cellStyle name="Activity Heading" xfId="1"/>
    <cellStyle name="Comma" xfId="3" builtinId="3"/>
    <cellStyle name="Currency" xfId="5" builtinId="4"/>
    <cellStyle name="Normal" xfId="0" builtinId="0"/>
    <cellStyle name="Percent" xfId="4" builtinId="5"/>
    <cellStyle name="Shading for Budget"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100523184550044"/>
          <c:y val="0.11658398950131239"/>
          <c:w val="0.77880157594904464"/>
          <c:h val="0.76270085272722365"/>
        </c:manualLayout>
      </c:layout>
      <c:lineChart>
        <c:grouping val="standard"/>
        <c:ser>
          <c:idx val="0"/>
          <c:order val="0"/>
          <c:val>
            <c:numRef>
              <c:f>'Gen Fd Cover Sheets'!$C$16:$K$16</c:f>
              <c:numCache>
                <c:formatCode>_(* #,##0_);_(* \(#,##0\);_(* "-"??_);_(@_)</c:formatCode>
                <c:ptCount val="9"/>
                <c:pt idx="0">
                  <c:v>710199</c:v>
                </c:pt>
                <c:pt idx="1">
                  <c:v>728145</c:v>
                </c:pt>
                <c:pt idx="2">
                  <c:v>903028</c:v>
                </c:pt>
                <c:pt idx="3">
                  <c:v>896372</c:v>
                </c:pt>
                <c:pt idx="4">
                  <c:v>749942</c:v>
                </c:pt>
                <c:pt idx="5">
                  <c:v>780295</c:v>
                </c:pt>
                <c:pt idx="6">
                  <c:v>806380</c:v>
                </c:pt>
                <c:pt idx="7">
                  <c:v>834035</c:v>
                </c:pt>
                <c:pt idx="8">
                  <c:v>863357</c:v>
                </c:pt>
              </c:numCache>
            </c:numRef>
          </c:val>
        </c:ser>
        <c:marker val="1"/>
        <c:axId val="99086336"/>
        <c:axId val="99088640"/>
      </c:lineChart>
      <c:catAx>
        <c:axId val="99086336"/>
        <c:scaling>
          <c:orientation val="minMax"/>
        </c:scaling>
        <c:axPos val="b"/>
        <c:tickLblPos val="none"/>
        <c:crossAx val="99088640"/>
        <c:crosses val="autoZero"/>
        <c:auto val="1"/>
        <c:lblAlgn val="ctr"/>
        <c:lblOffset val="100"/>
        <c:tickMarkSkip val="1"/>
      </c:catAx>
      <c:valAx>
        <c:axId val="99088640"/>
        <c:scaling>
          <c:orientation val="minMax"/>
        </c:scaling>
        <c:axPos val="l"/>
        <c:numFmt formatCode="\$#,##0_);\(\$#,##0\)" sourceLinked="0"/>
        <c:tickLblPos val="nextTo"/>
        <c:txPr>
          <a:bodyPr rot="0" vert="horz"/>
          <a:lstStyle/>
          <a:p>
            <a:pPr>
              <a:defRPr/>
            </a:pPr>
            <a:endParaRPr lang="en-US"/>
          </a:p>
        </c:txPr>
        <c:crossAx val="99086336"/>
        <c:crosses val="autoZero"/>
        <c:crossBetween val="between"/>
        <c:dispUnits>
          <c:builtInUnit val="thousands"/>
          <c:dispUnitsLbl>
            <c:layout>
              <c:manualLayout>
                <c:xMode val="edge"/>
                <c:yMode val="edge"/>
                <c:x val="0.14416406675580648"/>
                <c:y val="0.15547287839020121"/>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1913566926583156"/>
          <c:y val="0.18616969361245106"/>
          <c:w val="0.78086433073416839"/>
          <c:h val="0.53840924541128476"/>
        </c:manualLayout>
      </c:layout>
      <c:lineChart>
        <c:grouping val="standard"/>
        <c:ser>
          <c:idx val="0"/>
          <c:order val="0"/>
          <c:dLbls>
            <c:delete val="1"/>
          </c:dLbls>
          <c:val>
            <c:numRef>
              <c:f>'Fund Cover Sheets'!$C$82:$K$82</c:f>
              <c:numCache>
                <c:formatCode>_(* #,##0_);_(* \(#,##0\);_(* "-"??_);_(@_)</c:formatCode>
                <c:ptCount val="9"/>
                <c:pt idx="0">
                  <c:v>15124</c:v>
                </c:pt>
                <c:pt idx="1">
                  <c:v>11134</c:v>
                </c:pt>
                <c:pt idx="2">
                  <c:v>154</c:v>
                </c:pt>
                <c:pt idx="3">
                  <c:v>15067</c:v>
                </c:pt>
                <c:pt idx="4">
                  <c:v>-7693</c:v>
                </c:pt>
                <c:pt idx="5">
                  <c:v>-5695</c:v>
                </c:pt>
                <c:pt idx="6">
                  <c:v>-3951</c:v>
                </c:pt>
                <c:pt idx="7">
                  <c:v>-2473</c:v>
                </c:pt>
                <c:pt idx="8">
                  <c:v>-1275</c:v>
                </c:pt>
              </c:numCache>
            </c:numRef>
          </c:val>
        </c:ser>
        <c:dLbls>
          <c:showVal val="1"/>
        </c:dLbls>
        <c:marker val="1"/>
        <c:axId val="55658368"/>
        <c:axId val="55659904"/>
      </c:lineChart>
      <c:catAx>
        <c:axId val="55658368"/>
        <c:scaling>
          <c:orientation val="minMax"/>
        </c:scaling>
        <c:axPos val="b"/>
        <c:tickLblPos val="none"/>
        <c:crossAx val="55659904"/>
        <c:crosses val="autoZero"/>
        <c:lblAlgn val="ctr"/>
        <c:lblOffset val="100"/>
        <c:tickMarkSkip val="1"/>
      </c:catAx>
      <c:valAx>
        <c:axId val="55659904"/>
        <c:scaling>
          <c:orientation val="minMax"/>
        </c:scaling>
        <c:axPos val="l"/>
        <c:numFmt formatCode="\$#,##0_);\(\$#,##0\)" sourceLinked="0"/>
        <c:tickLblPos val="nextTo"/>
        <c:txPr>
          <a:bodyPr rot="0" vert="horz"/>
          <a:lstStyle/>
          <a:p>
            <a:pPr>
              <a:defRPr/>
            </a:pPr>
            <a:endParaRPr lang="en-US"/>
          </a:p>
        </c:txPr>
        <c:crossAx val="5565836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700453907858967"/>
          <c:y val="0.17990508131501903"/>
          <c:w val="0.76827217160415562"/>
          <c:h val="0.53840924541128476"/>
        </c:manualLayout>
      </c:layout>
      <c:lineChart>
        <c:grouping val="standard"/>
        <c:ser>
          <c:idx val="0"/>
          <c:order val="0"/>
          <c:dLbls>
            <c:delete val="1"/>
          </c:dLbls>
          <c:val>
            <c:numRef>
              <c:f>'Fund Cover Sheets'!$C$126:$K$126</c:f>
              <c:numCache>
                <c:formatCode>_(* #,##0_);_(* \(#,##0\);_(* "-"??_);_(@_)</c:formatCode>
                <c:ptCount val="9"/>
                <c:pt idx="0">
                  <c:v>7740</c:v>
                </c:pt>
                <c:pt idx="1">
                  <c:v>2574</c:v>
                </c:pt>
                <c:pt idx="2">
                  <c:v>-18345</c:v>
                </c:pt>
                <c:pt idx="3">
                  <c:v>-30994</c:v>
                </c:pt>
                <c:pt idx="4">
                  <c:v>-49980</c:v>
                </c:pt>
                <c:pt idx="5">
                  <c:v>-41699</c:v>
                </c:pt>
                <c:pt idx="6">
                  <c:v>-34024</c:v>
                </c:pt>
                <c:pt idx="7">
                  <c:v>-26985</c:v>
                </c:pt>
                <c:pt idx="8">
                  <c:v>-20614</c:v>
                </c:pt>
              </c:numCache>
            </c:numRef>
          </c:val>
        </c:ser>
        <c:dLbls>
          <c:showVal val="1"/>
        </c:dLbls>
        <c:marker val="1"/>
        <c:axId val="96795648"/>
        <c:axId val="98964224"/>
      </c:lineChart>
      <c:catAx>
        <c:axId val="96795648"/>
        <c:scaling>
          <c:orientation val="minMax"/>
        </c:scaling>
        <c:axPos val="b"/>
        <c:tickLblPos val="none"/>
        <c:crossAx val="98964224"/>
        <c:crosses val="autoZero"/>
        <c:lblAlgn val="ctr"/>
        <c:lblOffset val="100"/>
        <c:tickMarkSkip val="1"/>
      </c:catAx>
      <c:valAx>
        <c:axId val="98964224"/>
        <c:scaling>
          <c:orientation val="minMax"/>
        </c:scaling>
        <c:axPos val="l"/>
        <c:numFmt formatCode="\$#,##0_);\(\$#,##0\)" sourceLinked="0"/>
        <c:tickLblPos val="nextTo"/>
        <c:txPr>
          <a:bodyPr rot="0" vert="horz"/>
          <a:lstStyle/>
          <a:p>
            <a:pPr>
              <a:defRPr/>
            </a:pPr>
            <a:endParaRPr lang="en-US"/>
          </a:p>
        </c:txPr>
        <c:crossAx val="9679564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044891648817871"/>
          <c:y val="0.17946974847047847"/>
          <c:w val="0.77955108351184565"/>
          <c:h val="0.53840924541128476"/>
        </c:manualLayout>
      </c:layout>
      <c:lineChart>
        <c:grouping val="standard"/>
        <c:ser>
          <c:idx val="0"/>
          <c:order val="0"/>
          <c:dLbls>
            <c:delete val="1"/>
          </c:dLbls>
          <c:val>
            <c:numRef>
              <c:f>'Fund Cover Sheets'!$C$173:$K$173</c:f>
              <c:numCache>
                <c:formatCode>_(* #,##0_);_(* \(#,##0\);_(* "-"??_);_(@_)</c:formatCode>
                <c:ptCount val="9"/>
                <c:pt idx="0">
                  <c:v>1162506</c:v>
                </c:pt>
                <c:pt idx="1">
                  <c:v>1030456</c:v>
                </c:pt>
                <c:pt idx="2">
                  <c:v>620347</c:v>
                </c:pt>
                <c:pt idx="3">
                  <c:v>977153</c:v>
                </c:pt>
                <c:pt idx="4">
                  <c:v>589656</c:v>
                </c:pt>
                <c:pt idx="5">
                  <c:v>343076</c:v>
                </c:pt>
                <c:pt idx="6">
                  <c:v>189518</c:v>
                </c:pt>
                <c:pt idx="7">
                  <c:v>36064</c:v>
                </c:pt>
                <c:pt idx="8">
                  <c:v>0</c:v>
                </c:pt>
              </c:numCache>
            </c:numRef>
          </c:val>
        </c:ser>
        <c:dLbls>
          <c:showVal val="1"/>
        </c:dLbls>
        <c:marker val="1"/>
        <c:axId val="115847552"/>
        <c:axId val="115849088"/>
      </c:lineChart>
      <c:catAx>
        <c:axId val="115847552"/>
        <c:scaling>
          <c:orientation val="minMax"/>
        </c:scaling>
        <c:axPos val="b"/>
        <c:tickLblPos val="none"/>
        <c:crossAx val="115849088"/>
        <c:crosses val="autoZero"/>
        <c:lblAlgn val="ctr"/>
        <c:lblOffset val="100"/>
        <c:tickMarkSkip val="1"/>
      </c:catAx>
      <c:valAx>
        <c:axId val="115849088"/>
        <c:scaling>
          <c:orientation val="minMax"/>
        </c:scaling>
        <c:axPos val="l"/>
        <c:numFmt formatCode="\$#,##0_);\(\$#,##0\)" sourceLinked="0"/>
        <c:tickLblPos val="nextTo"/>
        <c:txPr>
          <a:bodyPr rot="0" vert="horz"/>
          <a:lstStyle/>
          <a:p>
            <a:pPr>
              <a:defRPr/>
            </a:pPr>
            <a:endParaRPr lang="en-US"/>
          </a:p>
        </c:txPr>
        <c:crossAx val="11584755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1" i="0" u="none" strike="noStrike" baseline="0">
                <a:solidFill>
                  <a:srgbClr val="000000"/>
                </a:solidFill>
                <a:latin typeface="Arial"/>
                <a:ea typeface="Arial"/>
                <a:cs typeface="Arial"/>
              </a:defRPr>
            </a:pPr>
            <a:r>
              <a:rPr lang="en-US"/>
              <a:t>Fund Balance</a:t>
            </a:r>
          </a:p>
        </c:rich>
      </c:tx>
      <c:layout>
        <c:manualLayout>
          <c:xMode val="edge"/>
          <c:yMode val="edge"/>
          <c:x val="0.43732960799267667"/>
          <c:y val="4.9943330947267994E-2"/>
        </c:manualLayout>
      </c:layout>
      <c:spPr>
        <a:noFill/>
        <a:ln w="25400">
          <a:noFill/>
        </a:ln>
      </c:spPr>
    </c:title>
    <c:plotArea>
      <c:layout>
        <c:manualLayout>
          <c:layoutTarget val="inner"/>
          <c:xMode val="edge"/>
          <c:yMode val="edge"/>
          <c:x val="5.9299681139162924E-2"/>
          <c:y val="0.17946974847047825"/>
          <c:w val="0.92473125950361534"/>
          <c:h val="0.53840924541128476"/>
        </c:manualLayout>
      </c:layout>
      <c:lineChart>
        <c:grouping val="standard"/>
        <c:ser>
          <c:idx val="2"/>
          <c:order val="0"/>
          <c:tx>
            <c:v>Fund Balance</c:v>
          </c:tx>
          <c:spPr>
            <a:ln w="3175">
              <a:solidFill>
                <a:srgbClr val="000000"/>
              </a:solidFill>
              <a:prstDash val="solid"/>
            </a:ln>
          </c:spPr>
          <c:marker>
            <c:symbol val="triangle"/>
            <c:size val="7"/>
            <c:spPr>
              <a:solidFill>
                <a:srgbClr val="000000"/>
              </a:solidFill>
              <a:ln>
                <a:solidFill>
                  <a:srgbClr val="000000"/>
                </a:solidFill>
                <a:prstDash val="solid"/>
              </a:ln>
            </c:spPr>
          </c:marker>
          <c:dLbls>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s>
          <c:val>
            <c:numLit>
              <c:formatCode>General</c:formatCode>
              <c:ptCount val="5"/>
              <c:pt idx="0">
                <c:v>-534828</c:v>
              </c:pt>
              <c:pt idx="1">
                <c:v>-2374704</c:v>
              </c:pt>
              <c:pt idx="2">
                <c:v>270222</c:v>
              </c:pt>
              <c:pt idx="3">
                <c:v>-1131924</c:v>
              </c:pt>
              <c:pt idx="4">
                <c:v>-1068555</c:v>
              </c:pt>
            </c:numLit>
          </c:val>
        </c:ser>
        <c:dLbls>
          <c:showVal val="1"/>
        </c:dLbls>
        <c:marker val="1"/>
        <c:axId val="59778944"/>
        <c:axId val="59780480"/>
      </c:lineChart>
      <c:catAx>
        <c:axId val="59778944"/>
        <c:scaling>
          <c:orientation val="minMax"/>
        </c:scaling>
        <c:axPos val="b"/>
        <c:numFmt formatCode="General" sourceLinked="1"/>
        <c:tickLblPos val="nextTo"/>
        <c:spPr>
          <a:ln w="3175">
            <a:solidFill>
              <a:srgbClr val="000000"/>
            </a:solidFill>
            <a:prstDash val="solid"/>
          </a:ln>
        </c:spPr>
        <c:txPr>
          <a:bodyPr rot="-3180000" vert="horz"/>
          <a:lstStyle/>
          <a:p>
            <a:pPr>
              <a:defRPr sz="450" b="0" i="0" u="none" strike="noStrike" baseline="0">
                <a:solidFill>
                  <a:srgbClr val="000000"/>
                </a:solidFill>
                <a:latin typeface="Arial"/>
                <a:ea typeface="Arial"/>
                <a:cs typeface="Arial"/>
              </a:defRPr>
            </a:pPr>
            <a:endParaRPr lang="en-US"/>
          </a:p>
        </c:txPr>
        <c:crossAx val="59780480"/>
        <c:crosses val="autoZero"/>
        <c:lblAlgn val="ctr"/>
        <c:lblOffset val="100"/>
        <c:tickLblSkip val="1"/>
        <c:tickMarkSkip val="1"/>
      </c:catAx>
      <c:valAx>
        <c:axId val="59780480"/>
        <c:scaling>
          <c:orientation val="minMax"/>
        </c:scaling>
        <c:axPos val="l"/>
        <c:numFmt formatCode="\$#,##0_);\(\$#,##0\)" sourceLinked="0"/>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en-US"/>
          </a:p>
        </c:txPr>
        <c:crossAx val="59778944"/>
        <c:crosses val="autoZero"/>
        <c:crossBetween val="between"/>
        <c:dispUnits>
          <c:builtInUnit val="thousands"/>
          <c:dispUnitsLbl>
            <c:layout>
              <c:manualLayout>
                <c:xMode val="edge"/>
                <c:yMode val="edge"/>
                <c:x val="2.5885558583107492E-2"/>
                <c:y val="0.28149829738941418"/>
              </c:manualLayout>
            </c:layout>
            <c:spPr>
              <a:noFill/>
              <a:ln w="25400">
                <a:noFill/>
              </a:ln>
            </c:spPr>
            <c:txPr>
              <a:bodyPr rot="-5400000" vert="horz"/>
              <a:lstStyle/>
              <a:p>
                <a:pPr algn="ctr">
                  <a:defRPr sz="525" b="1" i="0" u="none" strike="noStrike" baseline="0">
                    <a:solidFill>
                      <a:srgbClr val="000000"/>
                    </a:solidFill>
                    <a:latin typeface="Arial"/>
                    <a:ea typeface="Arial"/>
                    <a:cs typeface="Arial"/>
                  </a:defRPr>
                </a:pPr>
                <a:endParaRPr lang="en-US"/>
              </a:p>
            </c:txPr>
          </c:dispUnitsLbl>
        </c:dispUnits>
      </c:valAx>
      <c:spPr>
        <a:solidFill>
          <a:srgbClr val="FFFFFF"/>
        </a:solidFill>
        <a:ln w="12700">
          <a:solidFill>
            <a:srgbClr val="FFFFFF"/>
          </a:solidFill>
          <a:prstDash val="solid"/>
        </a:ln>
      </c:spPr>
    </c:plotArea>
    <c:plotVisOnly val="1"/>
    <c:dispBlanksAs val="gap"/>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6974847047825"/>
          <c:w val="0.7770240258429234"/>
          <c:h val="0.53840924541128476"/>
        </c:manualLayout>
      </c:layout>
      <c:lineChart>
        <c:grouping val="standard"/>
        <c:ser>
          <c:idx val="0"/>
          <c:order val="0"/>
          <c:dLbls>
            <c:delete val="1"/>
          </c:dLbls>
          <c:val>
            <c:numRef>
              <c:f>'Fund Cover Sheets'!$C$216:$K$216</c:f>
              <c:numCache>
                <c:formatCode>_(* #,##0_);_(* \(#,##0\);_(* "-"??_);_(@_)</c:formatCode>
                <c:ptCount val="9"/>
                <c:pt idx="0">
                  <c:v>-571615</c:v>
                </c:pt>
                <c:pt idx="1">
                  <c:v>0</c:v>
                </c:pt>
                <c:pt idx="2">
                  <c:v>0</c:v>
                </c:pt>
                <c:pt idx="3">
                  <c:v>0</c:v>
                </c:pt>
                <c:pt idx="4">
                  <c:v>0</c:v>
                </c:pt>
                <c:pt idx="5">
                  <c:v>0</c:v>
                </c:pt>
                <c:pt idx="6">
                  <c:v>0</c:v>
                </c:pt>
                <c:pt idx="7">
                  <c:v>0</c:v>
                </c:pt>
                <c:pt idx="8">
                  <c:v>0</c:v>
                </c:pt>
              </c:numCache>
            </c:numRef>
          </c:val>
        </c:ser>
        <c:dLbls>
          <c:showVal val="1"/>
        </c:dLbls>
        <c:marker val="1"/>
        <c:axId val="59808768"/>
        <c:axId val="59822848"/>
      </c:lineChart>
      <c:catAx>
        <c:axId val="59808768"/>
        <c:scaling>
          <c:orientation val="minMax"/>
        </c:scaling>
        <c:axPos val="b"/>
        <c:tickLblPos val="none"/>
        <c:crossAx val="59822848"/>
        <c:crosses val="autoZero"/>
        <c:lblAlgn val="ctr"/>
        <c:lblOffset val="100"/>
        <c:tickMarkSkip val="1"/>
      </c:catAx>
      <c:valAx>
        <c:axId val="59822848"/>
        <c:scaling>
          <c:orientation val="minMax"/>
        </c:scaling>
        <c:axPos val="l"/>
        <c:numFmt formatCode="\$#,##0_);\(\$#,##0\)" sourceLinked="0"/>
        <c:tickLblPos val="nextTo"/>
        <c:txPr>
          <a:bodyPr rot="0" vert="horz"/>
          <a:lstStyle/>
          <a:p>
            <a:pPr>
              <a:defRPr/>
            </a:pPr>
            <a:endParaRPr lang="en-US"/>
          </a:p>
        </c:txPr>
        <c:crossAx val="5980876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3301558838"/>
          <c:y val="4.9943330947267994E-2"/>
        </c:manualLayout>
      </c:layout>
    </c:title>
    <c:plotArea>
      <c:layout>
        <c:manualLayout>
          <c:layoutTarget val="inner"/>
          <c:xMode val="edge"/>
          <c:yMode val="edge"/>
          <c:x val="0.22598610852350579"/>
          <c:y val="0.17946974847047958"/>
          <c:w val="0.7727917381704692"/>
          <c:h val="0.53840924541128476"/>
        </c:manualLayout>
      </c:layout>
      <c:lineChart>
        <c:grouping val="standard"/>
        <c:ser>
          <c:idx val="0"/>
          <c:order val="0"/>
          <c:dLbls>
            <c:delete val="1"/>
          </c:dLbls>
          <c:val>
            <c:numRef>
              <c:f>'Fund Cover Sheets'!$C$515:$K$515</c:f>
              <c:numCache>
                <c:formatCode>_(* #,##0_);_(* \(#,##0\);_(* "-"??_);_(@_)</c:formatCode>
                <c:ptCount val="9"/>
                <c:pt idx="0">
                  <c:v>2993332</c:v>
                </c:pt>
                <c:pt idx="1">
                  <c:v>2879170</c:v>
                </c:pt>
                <c:pt idx="2">
                  <c:v>1959540</c:v>
                </c:pt>
                <c:pt idx="3">
                  <c:v>1793626</c:v>
                </c:pt>
                <c:pt idx="4">
                  <c:v>1368893</c:v>
                </c:pt>
                <c:pt idx="5">
                  <c:v>946344</c:v>
                </c:pt>
                <c:pt idx="6">
                  <c:v>517248</c:v>
                </c:pt>
                <c:pt idx="7">
                  <c:v>77567</c:v>
                </c:pt>
                <c:pt idx="8">
                  <c:v>178243</c:v>
                </c:pt>
              </c:numCache>
            </c:numRef>
          </c:val>
        </c:ser>
        <c:dLbls>
          <c:showVal val="1"/>
        </c:dLbls>
        <c:marker val="1"/>
        <c:axId val="98972032"/>
        <c:axId val="98973568"/>
      </c:lineChart>
      <c:catAx>
        <c:axId val="98972032"/>
        <c:scaling>
          <c:orientation val="minMax"/>
        </c:scaling>
        <c:axPos val="b"/>
        <c:tickLblPos val="none"/>
        <c:crossAx val="98973568"/>
        <c:crosses val="autoZero"/>
        <c:lblAlgn val="ctr"/>
        <c:lblOffset val="100"/>
        <c:tickMarkSkip val="1"/>
      </c:catAx>
      <c:valAx>
        <c:axId val="98973568"/>
        <c:scaling>
          <c:orientation val="minMax"/>
        </c:scaling>
        <c:axPos val="l"/>
        <c:numFmt formatCode="\$#,##0_);\(\$#,##0\)" sourceLinked="0"/>
        <c:tickLblPos val="nextTo"/>
        <c:txPr>
          <a:bodyPr rot="0" vert="horz"/>
          <a:lstStyle/>
          <a:p>
            <a:pPr>
              <a:defRPr/>
            </a:pPr>
            <a:endParaRPr lang="en-US"/>
          </a:p>
        </c:txPr>
        <c:crossAx val="9897203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50481633698219996"/>
          <c:y val="9.7421490655376728E-3"/>
        </c:manualLayout>
      </c:layout>
    </c:title>
    <c:plotArea>
      <c:layout>
        <c:manualLayout>
          <c:layoutTarget val="inner"/>
          <c:xMode val="edge"/>
          <c:yMode val="edge"/>
          <c:x val="0.21811827667882991"/>
          <c:y val="0.2598715361584828"/>
          <c:w val="0.78100485244222562"/>
          <c:h val="0.53840924541128476"/>
        </c:manualLayout>
      </c:layout>
      <c:lineChart>
        <c:grouping val="standard"/>
        <c:ser>
          <c:idx val="0"/>
          <c:order val="0"/>
          <c:dLbls>
            <c:delete val="1"/>
          </c:dLbls>
          <c:val>
            <c:numRef>
              <c:f>'Fund Cover Sheets'!$C$566:$K$566</c:f>
              <c:numCache>
                <c:formatCode>_(* #,##0_);_(* \(#,##0\);_(* "-"??_);_(@_)</c:formatCode>
                <c:ptCount val="9"/>
                <c:pt idx="0">
                  <c:v>121420</c:v>
                </c:pt>
                <c:pt idx="1">
                  <c:v>187984</c:v>
                </c:pt>
                <c:pt idx="2">
                  <c:v>-145213</c:v>
                </c:pt>
                <c:pt idx="3">
                  <c:v>-34835</c:v>
                </c:pt>
                <c:pt idx="4">
                  <c:v>-185167</c:v>
                </c:pt>
                <c:pt idx="5">
                  <c:v>145333</c:v>
                </c:pt>
                <c:pt idx="6">
                  <c:v>175833</c:v>
                </c:pt>
                <c:pt idx="7">
                  <c:v>206333</c:v>
                </c:pt>
                <c:pt idx="8">
                  <c:v>236833</c:v>
                </c:pt>
              </c:numCache>
            </c:numRef>
          </c:val>
        </c:ser>
        <c:dLbls>
          <c:showVal val="1"/>
        </c:dLbls>
        <c:marker val="1"/>
        <c:axId val="60962304"/>
        <c:axId val="60963840"/>
      </c:lineChart>
      <c:catAx>
        <c:axId val="60962304"/>
        <c:scaling>
          <c:orientation val="minMax"/>
        </c:scaling>
        <c:axPos val="b"/>
        <c:tickLblPos val="none"/>
        <c:crossAx val="60963840"/>
        <c:crosses val="autoZero"/>
        <c:lblAlgn val="ctr"/>
        <c:lblOffset val="100"/>
        <c:tickMarkSkip val="1"/>
      </c:catAx>
      <c:valAx>
        <c:axId val="60963840"/>
        <c:scaling>
          <c:orientation val="minMax"/>
        </c:scaling>
        <c:axPos val="l"/>
        <c:numFmt formatCode="\$#,##0_);\(\$#,##0\)" sourceLinked="0"/>
        <c:tickLblPos val="nextTo"/>
        <c:txPr>
          <a:bodyPr rot="0" vert="horz"/>
          <a:lstStyle/>
          <a:p>
            <a:pPr>
              <a:defRPr/>
            </a:pPr>
            <a:endParaRPr lang="en-US"/>
          </a:p>
        </c:txPr>
        <c:crossAx val="60962304"/>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6503331314354939"/>
          <c:y val="0.17946974847048119"/>
          <c:w val="0.7349666868564505"/>
          <c:h val="0.53840924541128476"/>
        </c:manualLayout>
      </c:layout>
      <c:lineChart>
        <c:grouping val="standard"/>
        <c:ser>
          <c:idx val="0"/>
          <c:order val="0"/>
          <c:dLbls>
            <c:delete val="1"/>
          </c:dLbls>
          <c:val>
            <c:numRef>
              <c:f>'Fund Cover Sheets'!$C$618:$K$618</c:f>
              <c:numCache>
                <c:formatCode>_(* #,##0_);_(* \(#,##0\);_(* "-"??_);_(@_)</c:formatCode>
                <c:ptCount val="9"/>
                <c:pt idx="0">
                  <c:v>320370</c:v>
                </c:pt>
                <c:pt idx="1">
                  <c:v>546485</c:v>
                </c:pt>
                <c:pt idx="2">
                  <c:v>286717</c:v>
                </c:pt>
                <c:pt idx="3">
                  <c:v>482100</c:v>
                </c:pt>
                <c:pt idx="4">
                  <c:v>269391</c:v>
                </c:pt>
                <c:pt idx="5">
                  <c:v>277627</c:v>
                </c:pt>
                <c:pt idx="6">
                  <c:v>286803</c:v>
                </c:pt>
                <c:pt idx="7">
                  <c:v>296534</c:v>
                </c:pt>
                <c:pt idx="8">
                  <c:v>306857</c:v>
                </c:pt>
              </c:numCache>
            </c:numRef>
          </c:val>
        </c:ser>
        <c:dLbls>
          <c:showVal val="1"/>
        </c:dLbls>
        <c:marker val="1"/>
        <c:axId val="60992128"/>
        <c:axId val="60993920"/>
      </c:lineChart>
      <c:catAx>
        <c:axId val="60992128"/>
        <c:scaling>
          <c:orientation val="minMax"/>
        </c:scaling>
        <c:axPos val="b"/>
        <c:tickLblPos val="none"/>
        <c:crossAx val="60993920"/>
        <c:crosses val="autoZero"/>
        <c:lblAlgn val="ctr"/>
        <c:lblOffset val="100"/>
        <c:tickMarkSkip val="1"/>
      </c:catAx>
      <c:valAx>
        <c:axId val="60993920"/>
        <c:scaling>
          <c:orientation val="minMax"/>
        </c:scaling>
        <c:axPos val="l"/>
        <c:numFmt formatCode="\$#,##0_);\(\$#,##0\)" sourceLinked="0"/>
        <c:tickLblPos val="nextTo"/>
        <c:txPr>
          <a:bodyPr rot="0" vert="horz"/>
          <a:lstStyle/>
          <a:p>
            <a:pPr>
              <a:defRPr/>
            </a:pPr>
            <a:endParaRPr lang="en-US"/>
          </a:p>
        </c:txPr>
        <c:crossAx val="6099212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2308919756"/>
          <c:y val="1.6609973753280841E-2"/>
        </c:manualLayout>
      </c:layout>
    </c:title>
    <c:plotArea>
      <c:layout>
        <c:manualLayout>
          <c:layoutTarget val="inner"/>
          <c:xMode val="edge"/>
          <c:yMode val="edge"/>
          <c:x val="0.21810187216334029"/>
          <c:y val="0.25290341207349076"/>
          <c:w val="0.78189685193460412"/>
          <c:h val="0.53840924541128476"/>
        </c:manualLayout>
      </c:layout>
      <c:lineChart>
        <c:grouping val="standard"/>
        <c:ser>
          <c:idx val="0"/>
          <c:order val="0"/>
          <c:dLbls>
            <c:delete val="1"/>
          </c:dLbls>
          <c:val>
            <c:numRef>
              <c:f>'Fund Cover Sheets'!$C$668:$K$668</c:f>
              <c:numCache>
                <c:formatCode>_(* #,##0_);_(* \(#,##0\);_(* "-"??_);_(@_)</c:formatCode>
                <c:ptCount val="9"/>
                <c:pt idx="0">
                  <c:v>-300420</c:v>
                </c:pt>
                <c:pt idx="1">
                  <c:v>0</c:v>
                </c:pt>
                <c:pt idx="2">
                  <c:v>0</c:v>
                </c:pt>
                <c:pt idx="3">
                  <c:v>0</c:v>
                </c:pt>
                <c:pt idx="4">
                  <c:v>0</c:v>
                </c:pt>
                <c:pt idx="5">
                  <c:v>0</c:v>
                </c:pt>
                <c:pt idx="6">
                  <c:v>0</c:v>
                </c:pt>
                <c:pt idx="7">
                  <c:v>0</c:v>
                </c:pt>
                <c:pt idx="8">
                  <c:v>0</c:v>
                </c:pt>
              </c:numCache>
            </c:numRef>
          </c:val>
        </c:ser>
        <c:dLbls>
          <c:showVal val="1"/>
        </c:dLbls>
        <c:marker val="1"/>
        <c:axId val="58527744"/>
        <c:axId val="58529280"/>
      </c:lineChart>
      <c:catAx>
        <c:axId val="58527744"/>
        <c:scaling>
          <c:orientation val="minMax"/>
        </c:scaling>
        <c:axPos val="b"/>
        <c:tickLblPos val="none"/>
        <c:crossAx val="58529280"/>
        <c:crosses val="autoZero"/>
        <c:lblAlgn val="ctr"/>
        <c:lblOffset val="100"/>
        <c:tickMarkSkip val="1"/>
      </c:catAx>
      <c:valAx>
        <c:axId val="58529280"/>
        <c:scaling>
          <c:orientation val="minMax"/>
        </c:scaling>
        <c:axPos val="l"/>
        <c:numFmt formatCode="\$#,##0_);\(\$#,##0\)" sourceLinked="0"/>
        <c:tickLblPos val="nextTo"/>
        <c:txPr>
          <a:bodyPr rot="0" vert="horz"/>
          <a:lstStyle/>
          <a:p>
            <a:pPr>
              <a:defRPr/>
            </a:pPr>
            <a:endParaRPr lang="en-US"/>
          </a:p>
        </c:txPr>
        <c:crossAx val="58527744"/>
        <c:crosses val="autoZero"/>
        <c:crossBetween val="between"/>
        <c:dispUnits>
          <c:builtInUnit val="thousands"/>
          <c:dispUnitsLbl>
            <c:layout>
              <c:manualLayout>
                <c:xMode val="edge"/>
                <c:yMode val="edge"/>
                <c:x val="0.14321365331725891"/>
                <c:y val="0.17946952610823144"/>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656062120348838"/>
          <c:y val="9.7421490655376728E-3"/>
        </c:manualLayout>
      </c:layout>
    </c:title>
    <c:plotArea>
      <c:layout>
        <c:manualLayout>
          <c:layoutTarget val="inner"/>
          <c:xMode val="edge"/>
          <c:yMode val="edge"/>
          <c:x val="0.22201220293137044"/>
          <c:y val="0.2062701961249819"/>
          <c:w val="0.77798779706863264"/>
          <c:h val="0.53840924541128476"/>
        </c:manualLayout>
      </c:layout>
      <c:lineChart>
        <c:grouping val="standard"/>
        <c:ser>
          <c:idx val="0"/>
          <c:order val="0"/>
          <c:dLbls>
            <c:delete val="1"/>
          </c:dLbls>
          <c:val>
            <c:numRef>
              <c:f>'Fund Cover Sheets'!$C$724:$K$724</c:f>
              <c:numCache>
                <c:formatCode>_(* #,##0_);_(* \(#,##0\);_(* "-"??_);_(@_)</c:formatCode>
                <c:ptCount val="9"/>
                <c:pt idx="0">
                  <c:v>446136</c:v>
                </c:pt>
                <c:pt idx="1">
                  <c:v>471076</c:v>
                </c:pt>
                <c:pt idx="2">
                  <c:v>354783</c:v>
                </c:pt>
                <c:pt idx="3">
                  <c:v>387693</c:v>
                </c:pt>
                <c:pt idx="4">
                  <c:v>392989</c:v>
                </c:pt>
                <c:pt idx="5">
                  <c:v>402401</c:v>
                </c:pt>
                <c:pt idx="6">
                  <c:v>407280</c:v>
                </c:pt>
                <c:pt idx="7">
                  <c:v>401908</c:v>
                </c:pt>
                <c:pt idx="8">
                  <c:v>390518</c:v>
                </c:pt>
              </c:numCache>
            </c:numRef>
          </c:val>
        </c:ser>
        <c:dLbls>
          <c:showVal val="1"/>
        </c:dLbls>
        <c:marker val="1"/>
        <c:axId val="58566144"/>
        <c:axId val="58567680"/>
      </c:lineChart>
      <c:catAx>
        <c:axId val="58566144"/>
        <c:scaling>
          <c:orientation val="minMax"/>
        </c:scaling>
        <c:axPos val="b"/>
        <c:tickLblPos val="none"/>
        <c:crossAx val="58567680"/>
        <c:crosses val="autoZero"/>
        <c:lblAlgn val="ctr"/>
        <c:lblOffset val="100"/>
        <c:tickMarkSkip val="1"/>
      </c:catAx>
      <c:valAx>
        <c:axId val="58567680"/>
        <c:scaling>
          <c:orientation val="minMax"/>
        </c:scaling>
        <c:axPos val="l"/>
        <c:numFmt formatCode="\$#,##0_);\(\$#,##0\)" sourceLinked="0"/>
        <c:tickLblPos val="nextTo"/>
        <c:txPr>
          <a:bodyPr rot="0" vert="horz"/>
          <a:lstStyle/>
          <a:p>
            <a:pPr>
              <a:defRPr/>
            </a:pPr>
            <a:endParaRPr lang="en-US"/>
          </a:p>
        </c:txPr>
        <c:crossAx val="58566144"/>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245215616775879"/>
          <c:y val="0.11154855643044605"/>
          <c:w val="0.77754779357742465"/>
          <c:h val="0.79527559055120001"/>
        </c:manualLayout>
      </c:layout>
      <c:lineChart>
        <c:grouping val="standard"/>
        <c:ser>
          <c:idx val="0"/>
          <c:order val="0"/>
          <c:val>
            <c:numRef>
              <c:f>'Gen Fd Cover Sheets'!$C$50:$K$50</c:f>
              <c:numCache>
                <c:formatCode>_(* #,##0_);_(* \(#,##0\);_(* "-"??_);_(@_)</c:formatCode>
                <c:ptCount val="9"/>
                <c:pt idx="0">
                  <c:v>297902</c:v>
                </c:pt>
                <c:pt idx="1">
                  <c:v>327688</c:v>
                </c:pt>
                <c:pt idx="2">
                  <c:v>380894</c:v>
                </c:pt>
                <c:pt idx="3">
                  <c:v>376760</c:v>
                </c:pt>
                <c:pt idx="4">
                  <c:v>388506</c:v>
                </c:pt>
                <c:pt idx="5">
                  <c:v>405673</c:v>
                </c:pt>
                <c:pt idx="6">
                  <c:v>422620</c:v>
                </c:pt>
                <c:pt idx="7">
                  <c:v>437786</c:v>
                </c:pt>
                <c:pt idx="8">
                  <c:v>453820</c:v>
                </c:pt>
              </c:numCache>
            </c:numRef>
          </c:val>
        </c:ser>
        <c:marker val="1"/>
        <c:axId val="51258880"/>
        <c:axId val="51260416"/>
      </c:lineChart>
      <c:catAx>
        <c:axId val="51258880"/>
        <c:scaling>
          <c:orientation val="minMax"/>
        </c:scaling>
        <c:delete val="1"/>
        <c:axPos val="b"/>
        <c:tickLblPos val="none"/>
        <c:crossAx val="51260416"/>
        <c:crosses val="autoZero"/>
        <c:auto val="1"/>
        <c:lblAlgn val="ctr"/>
        <c:lblOffset val="100"/>
      </c:catAx>
      <c:valAx>
        <c:axId val="51260416"/>
        <c:scaling>
          <c:orientation val="minMax"/>
          <c:min val="0"/>
        </c:scaling>
        <c:axPos val="l"/>
        <c:numFmt formatCode="\$#,##0_);\(\$#,##0\)" sourceLinked="0"/>
        <c:tickLblPos val="nextTo"/>
        <c:txPr>
          <a:bodyPr rot="0" vert="horz"/>
          <a:lstStyle/>
          <a:p>
            <a:pPr>
              <a:defRPr/>
            </a:pPr>
            <a:endParaRPr lang="en-US"/>
          </a:p>
        </c:txPr>
        <c:crossAx val="51258880"/>
        <c:crosses val="autoZero"/>
        <c:crossBetween val="between"/>
        <c:dispUnits>
          <c:builtInUnit val="thousands"/>
          <c:dispUnitsLbl>
            <c:layout>
              <c:manualLayout>
                <c:xMode val="edge"/>
                <c:yMode val="edge"/>
                <c:x val="0.15631141965246814"/>
                <c:y val="0.22309711286090494"/>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406088379518024"/>
          <c:y val="0.17946952610823144"/>
          <c:w val="0.77155737128426227"/>
          <c:h val="0.53840924541128476"/>
        </c:manualLayout>
      </c:layout>
      <c:lineChart>
        <c:grouping val="standard"/>
        <c:ser>
          <c:idx val="0"/>
          <c:order val="0"/>
          <c:dLbls>
            <c:delete val="1"/>
          </c:dLbls>
          <c:val>
            <c:numRef>
              <c:f>'Fund Cover Sheets'!$C$771:$K$771</c:f>
              <c:numCache>
                <c:formatCode>_(* #,##0_);_(* \(#,##0\);_(* "-"??_);_(@_)</c:formatCode>
                <c:ptCount val="9"/>
                <c:pt idx="0">
                  <c:v>0</c:v>
                </c:pt>
                <c:pt idx="1">
                  <c:v>0</c:v>
                </c:pt>
                <c:pt idx="2">
                  <c:v>30</c:v>
                </c:pt>
                <c:pt idx="3">
                  <c:v>0</c:v>
                </c:pt>
                <c:pt idx="4">
                  <c:v>30</c:v>
                </c:pt>
                <c:pt idx="5">
                  <c:v>30</c:v>
                </c:pt>
                <c:pt idx="6">
                  <c:v>30</c:v>
                </c:pt>
                <c:pt idx="7">
                  <c:v>30</c:v>
                </c:pt>
                <c:pt idx="8">
                  <c:v>30</c:v>
                </c:pt>
              </c:numCache>
            </c:numRef>
          </c:val>
        </c:ser>
        <c:dLbls>
          <c:showVal val="1"/>
        </c:dLbls>
        <c:marker val="1"/>
        <c:axId val="85330560"/>
        <c:axId val="85336448"/>
      </c:lineChart>
      <c:catAx>
        <c:axId val="85330560"/>
        <c:scaling>
          <c:orientation val="minMax"/>
        </c:scaling>
        <c:axPos val="b"/>
        <c:tickLblPos val="none"/>
        <c:crossAx val="85336448"/>
        <c:crosses val="autoZero"/>
        <c:lblAlgn val="ctr"/>
        <c:lblOffset val="100"/>
        <c:tickMarkSkip val="1"/>
      </c:catAx>
      <c:valAx>
        <c:axId val="85336448"/>
        <c:scaling>
          <c:orientation val="minMax"/>
        </c:scaling>
        <c:axPos val="l"/>
        <c:numFmt formatCode="\$#,##0_);\(\$#,##0\)" sourceLinked="0"/>
        <c:tickLblPos val="nextTo"/>
        <c:txPr>
          <a:bodyPr rot="0" vert="horz"/>
          <a:lstStyle/>
          <a:p>
            <a:pPr>
              <a:defRPr/>
            </a:pPr>
            <a:endParaRPr lang="en-US"/>
          </a:p>
        </c:txPr>
        <c:crossAx val="85330560"/>
        <c:crosses val="autoZero"/>
        <c:crossBetween val="between"/>
      </c:valAx>
    </c:plotArea>
    <c:plotVisOnly val="1"/>
    <c:dispBlanksAs val="gap"/>
  </c:chart>
  <c:printSettings>
    <c:headerFooter alignWithMargins="0"/>
    <c:pageMargins b="1" l="0.75000000000001465" r="0.75000000000001465"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a:t>
            </a:r>
          </a:p>
        </c:rich>
      </c:tx>
      <c:layout>
        <c:manualLayout>
          <c:xMode val="edge"/>
          <c:yMode val="edge"/>
          <c:x val="0.44182684611232131"/>
          <c:y val="3.0419815613508872E-3"/>
        </c:manualLayout>
      </c:layout>
    </c:title>
    <c:plotArea>
      <c:layout>
        <c:manualLayout>
          <c:layoutTarget val="inner"/>
          <c:xMode val="edge"/>
          <c:yMode val="edge"/>
          <c:x val="0.24012149360237744"/>
          <c:y val="0.17946952610823144"/>
          <c:w val="0.7598025344489151"/>
          <c:h val="0.53840924541128476"/>
        </c:manualLayout>
      </c:layout>
      <c:lineChart>
        <c:grouping val="standard"/>
        <c:ser>
          <c:idx val="0"/>
          <c:order val="0"/>
          <c:dLbls>
            <c:delete val="1"/>
          </c:dLbls>
          <c:val>
            <c:numRef>
              <c:f>'Fund Cover Sheets'!$C$817:$K$817</c:f>
              <c:numCache>
                <c:formatCode>_(* #,##0_);_(* \(#,##0\);_(* "-"??_);_(@_)</c:formatCode>
                <c:ptCount val="9"/>
                <c:pt idx="0">
                  <c:v>15689</c:v>
                </c:pt>
                <c:pt idx="1">
                  <c:v>26870</c:v>
                </c:pt>
                <c:pt idx="2">
                  <c:v>0</c:v>
                </c:pt>
                <c:pt idx="3">
                  <c:v>-8135</c:v>
                </c:pt>
                <c:pt idx="4">
                  <c:v>-10</c:v>
                </c:pt>
                <c:pt idx="5">
                  <c:v>0</c:v>
                </c:pt>
                <c:pt idx="6">
                  <c:v>0</c:v>
                </c:pt>
                <c:pt idx="7">
                  <c:v>0</c:v>
                </c:pt>
                <c:pt idx="8">
                  <c:v>0</c:v>
                </c:pt>
              </c:numCache>
            </c:numRef>
          </c:val>
        </c:ser>
        <c:dLbls>
          <c:showVal val="1"/>
        </c:dLbls>
        <c:marker val="1"/>
        <c:axId val="85343232"/>
        <c:axId val="85349120"/>
      </c:lineChart>
      <c:catAx>
        <c:axId val="85343232"/>
        <c:scaling>
          <c:orientation val="minMax"/>
        </c:scaling>
        <c:axPos val="b"/>
        <c:tickLblPos val="none"/>
        <c:crossAx val="85349120"/>
        <c:crosses val="autoZero"/>
        <c:lblAlgn val="ctr"/>
        <c:lblOffset val="100"/>
        <c:tickMarkSkip val="1"/>
      </c:catAx>
      <c:valAx>
        <c:axId val="85349120"/>
        <c:scaling>
          <c:orientation val="minMax"/>
        </c:scaling>
        <c:axPos val="l"/>
        <c:numFmt formatCode="\$#,##0_);\(\$#,##0\)" sourceLinked="0"/>
        <c:tickLblPos val="nextTo"/>
        <c:txPr>
          <a:bodyPr rot="0" vert="horz"/>
          <a:lstStyle/>
          <a:p>
            <a:pPr>
              <a:defRPr/>
            </a:pPr>
            <a:endParaRPr lang="en-US"/>
          </a:p>
        </c:txPr>
        <c:crossAx val="8534323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289884981229038"/>
          <c:y val="4.3242986586475685E-2"/>
        </c:manualLayout>
      </c:layout>
    </c:title>
    <c:plotArea>
      <c:layout>
        <c:manualLayout>
          <c:layoutTarget val="inner"/>
          <c:xMode val="edge"/>
          <c:yMode val="edge"/>
          <c:x val="0.22734721341084321"/>
          <c:y val="0.17276935860404391"/>
          <c:w val="0.77264522180864625"/>
          <c:h val="0.53840924541128476"/>
        </c:manualLayout>
      </c:layout>
      <c:lineChart>
        <c:grouping val="standard"/>
        <c:ser>
          <c:idx val="0"/>
          <c:order val="0"/>
          <c:dLbls>
            <c:delete val="1"/>
          </c:dLbls>
          <c:val>
            <c:numRef>
              <c:f>'Fund Cover Sheets'!$C$866:$K$866</c:f>
              <c:numCache>
                <c:formatCode>_(* #,##0_);_(* \(#,##0\);_(* "-"??_);_(@_)</c:formatCode>
                <c:ptCount val="9"/>
                <c:pt idx="0">
                  <c:v>1572335</c:v>
                </c:pt>
                <c:pt idx="1">
                  <c:v>-534087</c:v>
                </c:pt>
                <c:pt idx="2">
                  <c:v>-604070</c:v>
                </c:pt>
                <c:pt idx="3">
                  <c:v>-598388</c:v>
                </c:pt>
                <c:pt idx="4">
                  <c:v>-594959</c:v>
                </c:pt>
                <c:pt idx="5">
                  <c:v>-616887</c:v>
                </c:pt>
                <c:pt idx="6">
                  <c:v>-638815</c:v>
                </c:pt>
                <c:pt idx="7">
                  <c:v>-660743</c:v>
                </c:pt>
                <c:pt idx="8">
                  <c:v>-917671</c:v>
                </c:pt>
              </c:numCache>
            </c:numRef>
          </c:val>
        </c:ser>
        <c:dLbls>
          <c:showVal val="1"/>
        </c:dLbls>
        <c:marker val="1"/>
        <c:axId val="85373312"/>
        <c:axId val="85374848"/>
      </c:lineChart>
      <c:catAx>
        <c:axId val="85373312"/>
        <c:scaling>
          <c:orientation val="minMax"/>
        </c:scaling>
        <c:axPos val="b"/>
        <c:tickLblPos val="none"/>
        <c:crossAx val="85374848"/>
        <c:crosses val="autoZero"/>
        <c:lblAlgn val="ctr"/>
        <c:lblOffset val="100"/>
        <c:tickMarkSkip val="1"/>
      </c:catAx>
      <c:valAx>
        <c:axId val="85374848"/>
        <c:scaling>
          <c:orientation val="minMax"/>
        </c:scaling>
        <c:axPos val="l"/>
        <c:numFmt formatCode="\$#,##0_);\(\$#,##0\)" sourceLinked="0"/>
        <c:tickLblPos val="nextTo"/>
        <c:txPr>
          <a:bodyPr rot="0" vert="horz"/>
          <a:lstStyle/>
          <a:p>
            <a:pPr>
              <a:defRPr/>
            </a:pPr>
            <a:endParaRPr lang="en-US"/>
          </a:p>
        </c:txPr>
        <c:crossAx val="8537331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289884981229038"/>
          <c:y val="4.3242986586475685E-2"/>
        </c:manualLayout>
      </c:layout>
    </c:title>
    <c:plotArea>
      <c:layout>
        <c:manualLayout>
          <c:layoutTarget val="inner"/>
          <c:xMode val="edge"/>
          <c:yMode val="edge"/>
          <c:x val="0.22178090364387537"/>
          <c:y val="0.16606919109985624"/>
          <c:w val="0.77821909635623165"/>
          <c:h val="0.53840924541128476"/>
        </c:manualLayout>
      </c:layout>
      <c:lineChart>
        <c:grouping val="standard"/>
        <c:ser>
          <c:idx val="0"/>
          <c:order val="0"/>
          <c:dLbls>
            <c:delete val="1"/>
          </c:dLbls>
          <c:val>
            <c:numRef>
              <c:f>'Fund Cover Sheets'!$C$913:$K$913</c:f>
              <c:numCache>
                <c:formatCode>_(* #,##0_);_(* \(#,##0\);_(* "-"??_);_(@_)</c:formatCode>
                <c:ptCount val="9"/>
                <c:pt idx="0">
                  <c:v>216937</c:v>
                </c:pt>
                <c:pt idx="1">
                  <c:v>231529</c:v>
                </c:pt>
                <c:pt idx="2">
                  <c:v>265260</c:v>
                </c:pt>
                <c:pt idx="3">
                  <c:v>232931</c:v>
                </c:pt>
                <c:pt idx="4">
                  <c:v>-58049</c:v>
                </c:pt>
                <c:pt idx="5">
                  <c:v>-33284</c:v>
                </c:pt>
                <c:pt idx="6">
                  <c:v>-8629</c:v>
                </c:pt>
                <c:pt idx="7">
                  <c:v>21026</c:v>
                </c:pt>
                <c:pt idx="8">
                  <c:v>50581</c:v>
                </c:pt>
              </c:numCache>
            </c:numRef>
          </c:val>
        </c:ser>
        <c:dLbls>
          <c:showVal val="1"/>
        </c:dLbls>
        <c:marker val="1"/>
        <c:axId val="115672576"/>
        <c:axId val="115674112"/>
      </c:lineChart>
      <c:catAx>
        <c:axId val="115672576"/>
        <c:scaling>
          <c:orientation val="minMax"/>
        </c:scaling>
        <c:axPos val="b"/>
        <c:tickLblPos val="none"/>
        <c:crossAx val="115674112"/>
        <c:crosses val="autoZero"/>
        <c:lblAlgn val="ctr"/>
        <c:lblOffset val="100"/>
        <c:tickMarkSkip val="1"/>
      </c:catAx>
      <c:valAx>
        <c:axId val="115674112"/>
        <c:scaling>
          <c:orientation val="minMax"/>
        </c:scaling>
        <c:axPos val="l"/>
        <c:numFmt formatCode="\$#,##0_);\(\$#,##0\)" sourceLinked="0"/>
        <c:tickLblPos val="nextTo"/>
        <c:txPr>
          <a:bodyPr rot="0" vert="horz"/>
          <a:lstStyle/>
          <a:p>
            <a:pPr>
              <a:defRPr/>
            </a:pPr>
            <a:endParaRPr lang="en-US"/>
          </a:p>
        </c:txPr>
        <c:crossAx val="115672576"/>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07940592791756"/>
          <c:y val="0.17946974847047908"/>
          <c:w val="0.77792058543304365"/>
          <c:h val="0.53840924541128476"/>
        </c:manualLayout>
      </c:layout>
      <c:lineChart>
        <c:grouping val="standard"/>
        <c:ser>
          <c:idx val="0"/>
          <c:order val="0"/>
          <c:dLbls>
            <c:delete val="1"/>
          </c:dLbls>
          <c:val>
            <c:numRef>
              <c:f>'Fund Cover Sheets'!$C$407:$K$407</c:f>
              <c:numCache>
                <c:formatCode>_(* #,##0_);_(* \(#,##0\);_(* "-"??_);_(@_)</c:formatCode>
                <c:ptCount val="9"/>
                <c:pt idx="0">
                  <c:v>12046</c:v>
                </c:pt>
                <c:pt idx="1">
                  <c:v>5319</c:v>
                </c:pt>
                <c:pt idx="2">
                  <c:v>6207</c:v>
                </c:pt>
                <c:pt idx="3">
                  <c:v>8645</c:v>
                </c:pt>
                <c:pt idx="4">
                  <c:v>0</c:v>
                </c:pt>
                <c:pt idx="5">
                  <c:v>0</c:v>
                </c:pt>
                <c:pt idx="6">
                  <c:v>0</c:v>
                </c:pt>
                <c:pt idx="7">
                  <c:v>0</c:v>
                </c:pt>
                <c:pt idx="8">
                  <c:v>0</c:v>
                </c:pt>
              </c:numCache>
            </c:numRef>
          </c:val>
        </c:ser>
        <c:dLbls>
          <c:showVal val="1"/>
        </c:dLbls>
        <c:marker val="1"/>
        <c:axId val="115690112"/>
        <c:axId val="115704192"/>
      </c:lineChart>
      <c:catAx>
        <c:axId val="115690112"/>
        <c:scaling>
          <c:orientation val="minMax"/>
        </c:scaling>
        <c:axPos val="b"/>
        <c:tickLblPos val="none"/>
        <c:crossAx val="115704192"/>
        <c:crosses val="autoZero"/>
        <c:lblAlgn val="ctr"/>
        <c:lblOffset val="100"/>
        <c:tickMarkSkip val="1"/>
      </c:catAx>
      <c:valAx>
        <c:axId val="115704192"/>
        <c:scaling>
          <c:orientation val="minMax"/>
        </c:scaling>
        <c:axPos val="l"/>
        <c:numFmt formatCode="\$#,##0_);\(\$#,##0\)" sourceLinked="0"/>
        <c:tickLblPos val="nextTo"/>
        <c:txPr>
          <a:bodyPr rot="0" vert="horz"/>
          <a:lstStyle/>
          <a:p>
            <a:pPr>
              <a:defRPr/>
            </a:pPr>
            <a:endParaRPr lang="en-US"/>
          </a:p>
        </c:txPr>
        <c:crossAx val="11569011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7000279788144"/>
          <c:w val="0.7770240258429234"/>
          <c:h val="0.53840924541128476"/>
        </c:manualLayout>
      </c:layout>
      <c:lineChart>
        <c:grouping val="standard"/>
        <c:ser>
          <c:idx val="0"/>
          <c:order val="0"/>
          <c:dLbls>
            <c:delete val="1"/>
          </c:dLbls>
          <c:val>
            <c:numRef>
              <c:f>'Fund Cover Sheets'!$C$275:$K$275</c:f>
              <c:numCache>
                <c:formatCode>_(* #,##0_);_(* \(#,##0\);_(* "-"??_);_(@_)</c:formatCode>
                <c:ptCount val="9"/>
                <c:pt idx="0">
                  <c:v>328726</c:v>
                </c:pt>
                <c:pt idx="1">
                  <c:v>676555</c:v>
                </c:pt>
                <c:pt idx="2">
                  <c:v>4662971</c:v>
                </c:pt>
                <c:pt idx="3">
                  <c:v>4974078</c:v>
                </c:pt>
                <c:pt idx="4">
                  <c:v>831196</c:v>
                </c:pt>
                <c:pt idx="5">
                  <c:v>540614</c:v>
                </c:pt>
                <c:pt idx="6">
                  <c:v>0</c:v>
                </c:pt>
                <c:pt idx="7">
                  <c:v>0</c:v>
                </c:pt>
                <c:pt idx="8">
                  <c:v>0</c:v>
                </c:pt>
              </c:numCache>
            </c:numRef>
          </c:val>
        </c:ser>
        <c:dLbls>
          <c:showVal val="1"/>
        </c:dLbls>
        <c:marker val="1"/>
        <c:axId val="115728384"/>
        <c:axId val="115729920"/>
      </c:lineChart>
      <c:catAx>
        <c:axId val="115728384"/>
        <c:scaling>
          <c:orientation val="minMax"/>
        </c:scaling>
        <c:axPos val="b"/>
        <c:tickLblPos val="none"/>
        <c:crossAx val="115729920"/>
        <c:crosses val="autoZero"/>
        <c:lblAlgn val="ctr"/>
        <c:lblOffset val="100"/>
        <c:tickMarkSkip val="1"/>
      </c:catAx>
      <c:valAx>
        <c:axId val="115729920"/>
        <c:scaling>
          <c:orientation val="minMax"/>
        </c:scaling>
        <c:axPos val="l"/>
        <c:numFmt formatCode="\$#,##0_);\(\$#,##0\)" sourceLinked="0"/>
        <c:tickLblPos val="nextTo"/>
        <c:txPr>
          <a:bodyPr rot="0" vert="horz"/>
          <a:lstStyle/>
          <a:p>
            <a:pPr>
              <a:defRPr/>
            </a:pPr>
            <a:endParaRPr lang="en-US"/>
          </a:p>
        </c:txPr>
        <c:crossAx val="115728384"/>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6974847047847"/>
          <c:w val="0.7770240258429234"/>
          <c:h val="0.53840924541128476"/>
        </c:manualLayout>
      </c:layout>
      <c:lineChart>
        <c:grouping val="standard"/>
        <c:ser>
          <c:idx val="0"/>
          <c:order val="0"/>
          <c:dLbls>
            <c:delete val="1"/>
          </c:dLbls>
          <c:val>
            <c:numRef>
              <c:f>'Fund Cover Sheets'!$C$361:$K$361</c:f>
              <c:numCache>
                <c:formatCode>_(* #,##0_);_(* \(#,##0\);_(* "-"??_);_(@_)</c:formatCode>
                <c:ptCount val="9"/>
                <c:pt idx="0">
                  <c:v>175588</c:v>
                </c:pt>
                <c:pt idx="1">
                  <c:v>147746</c:v>
                </c:pt>
                <c:pt idx="2">
                  <c:v>0</c:v>
                </c:pt>
                <c:pt idx="3">
                  <c:v>142568</c:v>
                </c:pt>
                <c:pt idx="4">
                  <c:v>-1224</c:v>
                </c:pt>
                <c:pt idx="5">
                  <c:v>-918</c:v>
                </c:pt>
                <c:pt idx="6">
                  <c:v>-612</c:v>
                </c:pt>
                <c:pt idx="7">
                  <c:v>-306</c:v>
                </c:pt>
                <c:pt idx="8">
                  <c:v>0</c:v>
                </c:pt>
              </c:numCache>
            </c:numRef>
          </c:val>
        </c:ser>
        <c:dLbls>
          <c:showVal val="1"/>
        </c:dLbls>
        <c:marker val="1"/>
        <c:axId val="51405952"/>
        <c:axId val="51407488"/>
      </c:lineChart>
      <c:catAx>
        <c:axId val="51405952"/>
        <c:scaling>
          <c:orientation val="minMax"/>
        </c:scaling>
        <c:axPos val="b"/>
        <c:tickLblPos val="none"/>
        <c:crossAx val="51407488"/>
        <c:crosses val="autoZero"/>
        <c:lblAlgn val="ctr"/>
        <c:lblOffset val="100"/>
        <c:tickMarkSkip val="1"/>
      </c:catAx>
      <c:valAx>
        <c:axId val="51407488"/>
        <c:scaling>
          <c:orientation val="minMax"/>
        </c:scaling>
        <c:axPos val="l"/>
        <c:numFmt formatCode="\$#,##0_);\(\$#,##0\)" sourceLinked="0"/>
        <c:tickLblPos val="nextTo"/>
        <c:txPr>
          <a:bodyPr rot="0" vert="horz"/>
          <a:lstStyle/>
          <a:p>
            <a:pPr>
              <a:defRPr/>
            </a:pPr>
            <a:endParaRPr lang="en-US"/>
          </a:p>
        </c:txPr>
        <c:crossAx val="5140595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3301558838"/>
          <c:y val="4.9943330947267994E-2"/>
        </c:manualLayout>
      </c:layout>
    </c:title>
    <c:plotArea>
      <c:layout>
        <c:manualLayout>
          <c:layoutTarget val="inner"/>
          <c:xMode val="edge"/>
          <c:yMode val="edge"/>
          <c:x val="0.22207940592791756"/>
          <c:y val="0.1794697484704792"/>
          <c:w val="0.77792058543304365"/>
          <c:h val="0.53840924541128476"/>
        </c:manualLayout>
      </c:layout>
      <c:lineChart>
        <c:grouping val="standard"/>
        <c:ser>
          <c:idx val="0"/>
          <c:order val="0"/>
          <c:dLbls>
            <c:delete val="1"/>
          </c:dLbls>
          <c:val>
            <c:numRef>
              <c:f>'Fund Cover Sheets'!$C$460:$K$460</c:f>
              <c:numCache>
                <c:formatCode>_(* #,##0_);_(* \(#,##0\);_(* "-"??_);_(@_)</c:formatCode>
                <c:ptCount val="9"/>
                <c:pt idx="0">
                  <c:v>1526679</c:v>
                </c:pt>
                <c:pt idx="1">
                  <c:v>1350923</c:v>
                </c:pt>
                <c:pt idx="2">
                  <c:v>976762</c:v>
                </c:pt>
                <c:pt idx="3">
                  <c:v>834203</c:v>
                </c:pt>
                <c:pt idx="4">
                  <c:v>558007</c:v>
                </c:pt>
                <c:pt idx="5">
                  <c:v>839893</c:v>
                </c:pt>
                <c:pt idx="6">
                  <c:v>668701</c:v>
                </c:pt>
                <c:pt idx="7">
                  <c:v>287526</c:v>
                </c:pt>
                <c:pt idx="8">
                  <c:v>-249574</c:v>
                </c:pt>
              </c:numCache>
            </c:numRef>
          </c:val>
        </c:ser>
        <c:dLbls>
          <c:showVal val="1"/>
        </c:dLbls>
        <c:marker val="1"/>
        <c:axId val="51435776"/>
        <c:axId val="51437568"/>
      </c:lineChart>
      <c:catAx>
        <c:axId val="51435776"/>
        <c:scaling>
          <c:orientation val="minMax"/>
        </c:scaling>
        <c:axPos val="b"/>
        <c:tickLblPos val="none"/>
        <c:crossAx val="51437568"/>
        <c:crosses val="autoZero"/>
        <c:lblAlgn val="ctr"/>
        <c:lblOffset val="100"/>
        <c:tickMarkSkip val="1"/>
      </c:catAx>
      <c:valAx>
        <c:axId val="51437568"/>
        <c:scaling>
          <c:orientation val="minMax"/>
        </c:scaling>
        <c:axPos val="l"/>
        <c:numFmt formatCode="\$#,##0_);\(\$#,##0\)" sourceLinked="0"/>
        <c:tickLblPos val="nextTo"/>
        <c:txPr>
          <a:bodyPr rot="0" vert="horz"/>
          <a:lstStyle/>
          <a:p>
            <a:pPr>
              <a:defRPr/>
            </a:pPr>
            <a:endParaRPr lang="en-US"/>
          </a:p>
        </c:txPr>
        <c:crossAx val="51435776"/>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49960629925289"/>
          <c:y val="0.22514661347785561"/>
          <c:w val="0.7775003970307226"/>
          <c:h val="0.53840924541128476"/>
        </c:manualLayout>
      </c:layout>
      <c:lineChart>
        <c:grouping val="standard"/>
        <c:ser>
          <c:idx val="0"/>
          <c:order val="0"/>
          <c:dLbls>
            <c:delete val="1"/>
          </c:dLbls>
          <c:val>
            <c:numRef>
              <c:f>'Fund Cover Sheets'!$C$973:$K$973</c:f>
              <c:numCache>
                <c:formatCode>_(* #,##0_);_(* \(#,##0\);_(* "-"??_);_(@_)</c:formatCode>
                <c:ptCount val="9"/>
                <c:pt idx="0">
                  <c:v>11738136</c:v>
                </c:pt>
                <c:pt idx="1">
                  <c:v>9815811</c:v>
                </c:pt>
                <c:pt idx="2">
                  <c:v>11597666</c:v>
                </c:pt>
                <c:pt idx="3">
                  <c:v>12288260</c:v>
                </c:pt>
                <c:pt idx="4">
                  <c:v>6562511</c:v>
                </c:pt>
                <c:pt idx="5">
                  <c:v>5706400</c:v>
                </c:pt>
                <c:pt idx="6">
                  <c:v>3549742</c:v>
                </c:pt>
                <c:pt idx="7">
                  <c:v>1366190</c:v>
                </c:pt>
                <c:pt idx="8">
                  <c:v>-954773</c:v>
                </c:pt>
              </c:numCache>
            </c:numRef>
          </c:val>
        </c:ser>
        <c:dLbls>
          <c:showVal val="1"/>
        </c:dLbls>
        <c:marker val="1"/>
        <c:axId val="52370816"/>
        <c:axId val="52380800"/>
      </c:lineChart>
      <c:catAx>
        <c:axId val="52370816"/>
        <c:scaling>
          <c:orientation val="minMax"/>
        </c:scaling>
        <c:axPos val="b"/>
        <c:tickLblPos val="none"/>
        <c:crossAx val="52380800"/>
        <c:crosses val="autoZero"/>
        <c:lblAlgn val="ctr"/>
        <c:lblOffset val="100"/>
        <c:tickMarkSkip val="1"/>
      </c:catAx>
      <c:valAx>
        <c:axId val="52380800"/>
        <c:scaling>
          <c:orientation val="minMax"/>
        </c:scaling>
        <c:axPos val="l"/>
        <c:numFmt formatCode="\$#,##0_);\(\$#,##0\)" sourceLinked="0"/>
        <c:tickLblPos val="nextTo"/>
        <c:txPr>
          <a:bodyPr rot="0" vert="horz"/>
          <a:lstStyle/>
          <a:p>
            <a:pPr>
              <a:defRPr/>
            </a:pPr>
            <a:endParaRPr lang="en-US"/>
          </a:p>
        </c:txPr>
        <c:crossAx val="52370816"/>
        <c:crosses val="autoZero"/>
        <c:crossBetween val="between"/>
        <c:dispUnits>
          <c:builtInUnit val="thousands"/>
          <c:dispUnitsLbl>
            <c:layout>
              <c:manualLayout>
                <c:xMode val="edge"/>
                <c:yMode val="edge"/>
                <c:x val="0.13842327257378204"/>
                <c:y val="0.19904545814211597"/>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656062120348838"/>
          <c:y val="9.7421490655376728E-3"/>
        </c:manualLayout>
      </c:layout>
    </c:title>
    <c:plotArea>
      <c:layout>
        <c:manualLayout>
          <c:layoutTarget val="inner"/>
          <c:xMode val="edge"/>
          <c:yMode val="edge"/>
          <c:x val="0.22201220293137044"/>
          <c:y val="0.2062701961249819"/>
          <c:w val="0.77798779706863264"/>
          <c:h val="0.53840924541128476"/>
        </c:manualLayout>
      </c:layout>
      <c:lineChart>
        <c:grouping val="standard"/>
        <c:ser>
          <c:idx val="0"/>
          <c:order val="0"/>
          <c:dLbls>
            <c:delete val="1"/>
          </c:dLbls>
          <c:val>
            <c:numRef>
              <c:f>'Fund Cover Sheets'!$C$1032:$K$1032</c:f>
              <c:numCache>
                <c:formatCode>_(* #,##0_);_(* \(#,##0\);_(* "-"??_);_(@_)</c:formatCode>
                <c:ptCount val="9"/>
                <c:pt idx="0">
                  <c:v>461825</c:v>
                </c:pt>
                <c:pt idx="1">
                  <c:v>497946</c:v>
                </c:pt>
                <c:pt idx="2">
                  <c:v>354813</c:v>
                </c:pt>
                <c:pt idx="3">
                  <c:v>379558</c:v>
                </c:pt>
                <c:pt idx="4">
                  <c:v>393009</c:v>
                </c:pt>
                <c:pt idx="5">
                  <c:v>402431</c:v>
                </c:pt>
                <c:pt idx="6">
                  <c:v>407310</c:v>
                </c:pt>
                <c:pt idx="7">
                  <c:v>401938</c:v>
                </c:pt>
                <c:pt idx="8">
                  <c:v>390548</c:v>
                </c:pt>
              </c:numCache>
            </c:numRef>
          </c:val>
        </c:ser>
        <c:dLbls>
          <c:showVal val="1"/>
        </c:dLbls>
        <c:marker val="1"/>
        <c:axId val="52409472"/>
        <c:axId val="52411008"/>
      </c:lineChart>
      <c:catAx>
        <c:axId val="52409472"/>
        <c:scaling>
          <c:orientation val="minMax"/>
        </c:scaling>
        <c:axPos val="b"/>
        <c:tickLblPos val="none"/>
        <c:crossAx val="52411008"/>
        <c:crosses val="autoZero"/>
        <c:lblAlgn val="ctr"/>
        <c:lblOffset val="100"/>
        <c:tickMarkSkip val="1"/>
      </c:catAx>
      <c:valAx>
        <c:axId val="52411008"/>
        <c:scaling>
          <c:orientation val="minMax"/>
        </c:scaling>
        <c:axPos val="l"/>
        <c:numFmt formatCode="\$#,##0_);\(\$#,##0\)" sourceLinked="0"/>
        <c:tickLblPos val="nextTo"/>
        <c:txPr>
          <a:bodyPr rot="0" vert="horz"/>
          <a:lstStyle/>
          <a:p>
            <a:pPr>
              <a:defRPr/>
            </a:pPr>
            <a:endParaRPr lang="en-US"/>
          </a:p>
        </c:txPr>
        <c:crossAx val="5240947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555422379970497"/>
          <c:y val="8.3758656673940224E-2"/>
          <c:w val="0.77410116164820064"/>
          <c:h val="0.8156606851549757"/>
        </c:manualLayout>
      </c:layout>
      <c:lineChart>
        <c:grouping val="stacked"/>
        <c:ser>
          <c:idx val="0"/>
          <c:order val="0"/>
          <c:val>
            <c:numRef>
              <c:f>'Gen Fd Cover Sheets'!$C$81:$K$81</c:f>
              <c:numCache>
                <c:formatCode>_(* #,##0_);_(* \(#,##0\);_(* "-"??_);_(@_)</c:formatCode>
                <c:ptCount val="9"/>
                <c:pt idx="0">
                  <c:v>3550956</c:v>
                </c:pt>
                <c:pt idx="1">
                  <c:v>3812134</c:v>
                </c:pt>
                <c:pt idx="2">
                  <c:v>4581682</c:v>
                </c:pt>
                <c:pt idx="3">
                  <c:v>4591505</c:v>
                </c:pt>
                <c:pt idx="4">
                  <c:v>4978431</c:v>
                </c:pt>
                <c:pt idx="5">
                  <c:v>5140328</c:v>
                </c:pt>
                <c:pt idx="6">
                  <c:v>5357549</c:v>
                </c:pt>
                <c:pt idx="7">
                  <c:v>5581450</c:v>
                </c:pt>
                <c:pt idx="8">
                  <c:v>5805564</c:v>
                </c:pt>
              </c:numCache>
            </c:numRef>
          </c:val>
        </c:ser>
        <c:marker val="1"/>
        <c:axId val="51276032"/>
        <c:axId val="51277824"/>
      </c:lineChart>
      <c:catAx>
        <c:axId val="51276032"/>
        <c:scaling>
          <c:orientation val="minMax"/>
        </c:scaling>
        <c:delete val="1"/>
        <c:axPos val="b"/>
        <c:numFmt formatCode="#,##0_);\(#,##0\)" sourceLinked="1"/>
        <c:tickLblPos val="none"/>
        <c:crossAx val="51277824"/>
        <c:crosses val="autoZero"/>
        <c:auto val="1"/>
        <c:lblAlgn val="ctr"/>
        <c:lblOffset val="100"/>
      </c:catAx>
      <c:valAx>
        <c:axId val="51277824"/>
        <c:scaling>
          <c:orientation val="minMax"/>
        </c:scaling>
        <c:axPos val="l"/>
        <c:numFmt formatCode="\$#,##0_);\(\$#,##0\)" sourceLinked="0"/>
        <c:tickLblPos val="nextTo"/>
        <c:txPr>
          <a:bodyPr rot="0" vert="horz"/>
          <a:lstStyle/>
          <a:p>
            <a:pPr>
              <a:defRPr/>
            </a:pPr>
            <a:endParaRPr lang="en-US"/>
          </a:p>
        </c:txPr>
        <c:crossAx val="51276032"/>
        <c:crosses val="autoZero"/>
        <c:crossBetween val="between"/>
        <c:dispUnits>
          <c:builtInUnit val="thousands"/>
          <c:dispUnitsLbl>
            <c:layout>
              <c:manualLayout>
                <c:xMode val="edge"/>
                <c:yMode val="edge"/>
                <c:x val="0.13727009359680944"/>
                <c:y val="0.20862294493318617"/>
              </c:manualLayout>
            </c:layout>
            <c:txPr>
              <a:bodyPr rot="-5400000" vert="horz"/>
              <a:lstStyle/>
              <a:p>
                <a:pPr>
                  <a:defRPr/>
                </a:pPr>
                <a:endParaRPr lang="en-US"/>
              </a:p>
            </c:txPr>
          </c:dispUnitsLbl>
        </c:dispUnits>
      </c:valAx>
    </c:plotArea>
    <c:plotVisOnly val="1"/>
    <c:dispBlanksAs val="zero"/>
  </c:chart>
  <c:printSettings>
    <c:headerFooter alignWithMargins="0"/>
    <c:pageMargins b="1" l="0.75000000000001465" r="0.75000000000001465" t="1" header="0.5" footer="0.5"/>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6503331314354939"/>
          <c:y val="0.17946974847048131"/>
          <c:w val="0.7349666868564505"/>
          <c:h val="0.53840924541128476"/>
        </c:manualLayout>
      </c:layout>
      <c:lineChart>
        <c:grouping val="standard"/>
        <c:ser>
          <c:idx val="0"/>
          <c:order val="0"/>
          <c:dLbls>
            <c:delete val="1"/>
          </c:dLbls>
          <c:val>
            <c:numRef>
              <c:f>'Fund Cover Sheets'!$C$1088:$K$1088</c:f>
              <c:numCache>
                <c:formatCode>_(* #,##0_);_(* \(#,##0\);_(* "-"??_);_(@_)</c:formatCode>
                <c:ptCount val="9"/>
                <c:pt idx="0">
                  <c:v>66452</c:v>
                </c:pt>
                <c:pt idx="1">
                  <c:v>580558</c:v>
                </c:pt>
                <c:pt idx="2">
                  <c:v>286717</c:v>
                </c:pt>
                <c:pt idx="3">
                  <c:v>608499</c:v>
                </c:pt>
                <c:pt idx="4">
                  <c:v>268167</c:v>
                </c:pt>
                <c:pt idx="5">
                  <c:v>276709</c:v>
                </c:pt>
                <c:pt idx="6">
                  <c:v>286191</c:v>
                </c:pt>
                <c:pt idx="7">
                  <c:v>296228</c:v>
                </c:pt>
                <c:pt idx="8">
                  <c:v>306857</c:v>
                </c:pt>
              </c:numCache>
            </c:numRef>
          </c:val>
        </c:ser>
        <c:dLbls>
          <c:showVal val="1"/>
        </c:dLbls>
        <c:marker val="1"/>
        <c:axId val="56178944"/>
        <c:axId val="56193024"/>
      </c:lineChart>
      <c:catAx>
        <c:axId val="56178944"/>
        <c:scaling>
          <c:orientation val="minMax"/>
        </c:scaling>
        <c:axPos val="b"/>
        <c:tickLblPos val="none"/>
        <c:crossAx val="56193024"/>
        <c:crosses val="autoZero"/>
        <c:lblAlgn val="ctr"/>
        <c:lblOffset val="100"/>
        <c:tickMarkSkip val="1"/>
      </c:catAx>
      <c:valAx>
        <c:axId val="56193024"/>
        <c:scaling>
          <c:orientation val="minMax"/>
        </c:scaling>
        <c:axPos val="l"/>
        <c:numFmt formatCode="\$#,##0_);\(\$#,##0\)" sourceLinked="0"/>
        <c:tickLblPos val="nextTo"/>
        <c:txPr>
          <a:bodyPr rot="0" vert="horz"/>
          <a:lstStyle/>
          <a:p>
            <a:pPr>
              <a:defRPr/>
            </a:pPr>
            <a:endParaRPr lang="en-US"/>
          </a:p>
        </c:txPr>
        <c:crossAx val="56178944"/>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811355042197792"/>
          <c:y val="0.1640419947506562"/>
          <c:w val="0.77188649815220001"/>
          <c:h val="0.79527559055120001"/>
        </c:manualLayout>
      </c:layout>
      <c:lineChart>
        <c:grouping val="standard"/>
        <c:ser>
          <c:idx val="0"/>
          <c:order val="0"/>
          <c:val>
            <c:numRef>
              <c:f>'Gen Fd Cover Sheets'!$C$117:$K$117</c:f>
              <c:numCache>
                <c:formatCode>_(* #,##0_);_(* \(#,##0\);_(* "-"??_);_(@_)</c:formatCode>
                <c:ptCount val="9"/>
                <c:pt idx="0">
                  <c:v>365189</c:v>
                </c:pt>
                <c:pt idx="1">
                  <c:v>407538</c:v>
                </c:pt>
                <c:pt idx="2">
                  <c:v>603554</c:v>
                </c:pt>
                <c:pt idx="3">
                  <c:v>602682</c:v>
                </c:pt>
                <c:pt idx="4">
                  <c:v>685228</c:v>
                </c:pt>
                <c:pt idx="5">
                  <c:v>693407</c:v>
                </c:pt>
                <c:pt idx="6">
                  <c:v>695105</c:v>
                </c:pt>
                <c:pt idx="7">
                  <c:v>724423</c:v>
                </c:pt>
                <c:pt idx="8">
                  <c:v>755465</c:v>
                </c:pt>
              </c:numCache>
            </c:numRef>
          </c:val>
        </c:ser>
        <c:marker val="1"/>
        <c:axId val="51289088"/>
        <c:axId val="51311360"/>
      </c:lineChart>
      <c:catAx>
        <c:axId val="51289088"/>
        <c:scaling>
          <c:orientation val="minMax"/>
        </c:scaling>
        <c:delete val="1"/>
        <c:axPos val="b"/>
        <c:tickLblPos val="none"/>
        <c:crossAx val="51311360"/>
        <c:crosses val="autoZero"/>
        <c:auto val="1"/>
        <c:lblAlgn val="ctr"/>
        <c:lblOffset val="100"/>
      </c:catAx>
      <c:valAx>
        <c:axId val="51311360"/>
        <c:scaling>
          <c:orientation val="minMax"/>
          <c:min val="0"/>
        </c:scaling>
        <c:axPos val="l"/>
        <c:numFmt formatCode="\$#,##0_);\(\$#,##0\)" sourceLinked="0"/>
        <c:tickLblPos val="nextTo"/>
        <c:txPr>
          <a:bodyPr rot="0" vert="horz"/>
          <a:lstStyle/>
          <a:p>
            <a:pPr>
              <a:defRPr/>
            </a:pPr>
            <a:endParaRPr lang="en-US"/>
          </a:p>
        </c:txPr>
        <c:crossAx val="51289088"/>
        <c:crosses val="autoZero"/>
        <c:crossBetween val="between"/>
        <c:dispUnits>
          <c:builtInUnit val="thousands"/>
          <c:dispUnitsLbl>
            <c:layout>
              <c:manualLayout>
                <c:xMode val="edge"/>
                <c:yMode val="edge"/>
                <c:x val="0.15047424170664594"/>
                <c:y val="0.19028871391076116"/>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0190385094280844"/>
          <c:y val="9.2177413634106489E-2"/>
          <c:w val="0.78985932633768163"/>
          <c:h val="0.80607414494849161"/>
        </c:manualLayout>
      </c:layout>
      <c:lineChart>
        <c:grouping val="standard"/>
        <c:ser>
          <c:idx val="0"/>
          <c:order val="0"/>
          <c:val>
            <c:numRef>
              <c:f>'Gen Fd Cover Sheets'!$C$148:$K$148</c:f>
              <c:numCache>
                <c:formatCode>_(* #,##0_);_(* \(#,##0\);_(* "-"??_);_(@_)</c:formatCode>
                <c:ptCount val="9"/>
                <c:pt idx="0">
                  <c:v>1647589</c:v>
                </c:pt>
                <c:pt idx="1">
                  <c:v>2045050</c:v>
                </c:pt>
                <c:pt idx="2">
                  <c:v>1911325</c:v>
                </c:pt>
                <c:pt idx="3">
                  <c:v>1980124</c:v>
                </c:pt>
                <c:pt idx="4">
                  <c:v>2084907</c:v>
                </c:pt>
                <c:pt idx="5">
                  <c:v>2025232</c:v>
                </c:pt>
                <c:pt idx="6">
                  <c:v>2183648</c:v>
                </c:pt>
                <c:pt idx="7">
                  <c:v>2262167</c:v>
                </c:pt>
                <c:pt idx="8">
                  <c:v>2344874</c:v>
                </c:pt>
              </c:numCache>
            </c:numRef>
          </c:val>
        </c:ser>
        <c:marker val="1"/>
        <c:axId val="51318784"/>
        <c:axId val="51320320"/>
      </c:lineChart>
      <c:catAx>
        <c:axId val="51318784"/>
        <c:scaling>
          <c:orientation val="minMax"/>
        </c:scaling>
        <c:delete val="1"/>
        <c:axPos val="b"/>
        <c:tickLblPos val="none"/>
        <c:crossAx val="51320320"/>
        <c:crosses val="autoZero"/>
        <c:auto val="1"/>
        <c:lblAlgn val="ctr"/>
        <c:lblOffset val="100"/>
      </c:catAx>
      <c:valAx>
        <c:axId val="51320320"/>
        <c:scaling>
          <c:orientation val="minMax"/>
        </c:scaling>
        <c:axPos val="l"/>
        <c:numFmt formatCode="\$#,##0_);\(\$#,##0\)" sourceLinked="0"/>
        <c:tickLblPos val="nextTo"/>
        <c:txPr>
          <a:bodyPr rot="0" vert="horz"/>
          <a:lstStyle/>
          <a:p>
            <a:pPr>
              <a:defRPr/>
            </a:pPr>
            <a:endParaRPr lang="en-US"/>
          </a:p>
        </c:txPr>
        <c:crossAx val="51318784"/>
        <c:crosses val="autoZero"/>
        <c:crossBetween val="between"/>
        <c:dispUnits>
          <c:builtInUnit val="thousands"/>
          <c:dispUnitsLbl>
            <c:layout>
              <c:manualLayout>
                <c:xMode val="edge"/>
                <c:yMode val="edge"/>
                <c:x val="0.11749695671602722"/>
                <c:y val="0.13159182804852088"/>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5234598557698207"/>
          <c:y val="8.9162123965274245E-2"/>
          <c:w val="0.74765403742226644"/>
          <c:h val="0.82398155265190065"/>
        </c:manualLayout>
      </c:layout>
      <c:lineChart>
        <c:grouping val="standard"/>
        <c:ser>
          <c:idx val="0"/>
          <c:order val="0"/>
          <c:val>
            <c:numRef>
              <c:f>'Gen Fd Cover Sheets'!$C$184:$K$184</c:f>
              <c:numCache>
                <c:formatCode>_(* #,##0_);_(* \(#,##0\);_(* "-"??_);_(@_)</c:formatCode>
                <c:ptCount val="9"/>
                <c:pt idx="0">
                  <c:v>3789782</c:v>
                </c:pt>
                <c:pt idx="1">
                  <c:v>6487837</c:v>
                </c:pt>
                <c:pt idx="2">
                  <c:v>5189629</c:v>
                </c:pt>
                <c:pt idx="3">
                  <c:v>5229600</c:v>
                </c:pt>
                <c:pt idx="4">
                  <c:v>5303621</c:v>
                </c:pt>
                <c:pt idx="5">
                  <c:v>5787694</c:v>
                </c:pt>
                <c:pt idx="6">
                  <c:v>5908722</c:v>
                </c:pt>
                <c:pt idx="7">
                  <c:v>6047912</c:v>
                </c:pt>
                <c:pt idx="8">
                  <c:v>6184954</c:v>
                </c:pt>
              </c:numCache>
            </c:numRef>
          </c:val>
        </c:ser>
        <c:marker val="1"/>
        <c:axId val="51348224"/>
        <c:axId val="51349760"/>
      </c:lineChart>
      <c:catAx>
        <c:axId val="51348224"/>
        <c:scaling>
          <c:orientation val="minMax"/>
        </c:scaling>
        <c:delete val="1"/>
        <c:axPos val="b"/>
        <c:tickLblPos val="none"/>
        <c:crossAx val="51349760"/>
        <c:crosses val="autoZero"/>
        <c:auto val="1"/>
        <c:lblAlgn val="ctr"/>
        <c:lblOffset val="100"/>
      </c:catAx>
      <c:valAx>
        <c:axId val="51349760"/>
        <c:scaling>
          <c:orientation val="minMax"/>
        </c:scaling>
        <c:axPos val="l"/>
        <c:numFmt formatCode="\$#,##0_);\(\$#,##0\)" sourceLinked="0"/>
        <c:tickLblPos val="nextTo"/>
        <c:txPr>
          <a:bodyPr rot="0" vert="horz"/>
          <a:lstStyle/>
          <a:p>
            <a:pPr>
              <a:defRPr/>
            </a:pPr>
            <a:endParaRPr lang="en-US"/>
          </a:p>
        </c:txPr>
        <c:crossAx val="51348224"/>
        <c:crosses val="autoZero"/>
        <c:crossBetween val="between"/>
        <c:dispUnits>
          <c:builtInUnit val="thousands"/>
          <c:dispUnitsLbl>
            <c:layout>
              <c:manualLayout>
                <c:xMode val="edge"/>
                <c:yMode val="edge"/>
                <c:x val="0.17527220196003246"/>
                <c:y val="0.17634161114476074"/>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6974847047859"/>
          <c:w val="0.7770240258429234"/>
          <c:h val="0.53840924541128476"/>
        </c:manualLayout>
      </c:layout>
      <c:lineChart>
        <c:grouping val="standard"/>
        <c:ser>
          <c:idx val="0"/>
          <c:order val="0"/>
          <c:dLbls>
            <c:delete val="1"/>
          </c:dLbls>
          <c:val>
            <c:numRef>
              <c:f>'Veh &amp; Equip Cover Sheet'!$C$69:$K$69</c:f>
              <c:numCache>
                <c:formatCode>_(* #,##0_);_(* \(#,##0\);_(* "-"??_);_(@_)</c:formatCode>
                <c:ptCount val="9"/>
                <c:pt idx="0">
                  <c:v>175588</c:v>
                </c:pt>
                <c:pt idx="1">
                  <c:v>147746</c:v>
                </c:pt>
                <c:pt idx="2">
                  <c:v>0</c:v>
                </c:pt>
                <c:pt idx="3">
                  <c:v>142568</c:v>
                </c:pt>
                <c:pt idx="4">
                  <c:v>-1224</c:v>
                </c:pt>
                <c:pt idx="5">
                  <c:v>-918</c:v>
                </c:pt>
                <c:pt idx="6">
                  <c:v>-612</c:v>
                </c:pt>
                <c:pt idx="7">
                  <c:v>-306</c:v>
                </c:pt>
                <c:pt idx="8">
                  <c:v>0</c:v>
                </c:pt>
              </c:numCache>
            </c:numRef>
          </c:val>
        </c:ser>
        <c:dLbls>
          <c:showVal val="1"/>
        </c:dLbls>
        <c:marker val="1"/>
        <c:axId val="51517312"/>
        <c:axId val="51518848"/>
      </c:lineChart>
      <c:catAx>
        <c:axId val="51517312"/>
        <c:scaling>
          <c:orientation val="minMax"/>
        </c:scaling>
        <c:axPos val="b"/>
        <c:tickLblPos val="none"/>
        <c:crossAx val="51518848"/>
        <c:crosses val="autoZero"/>
        <c:lblAlgn val="ctr"/>
        <c:lblOffset val="100"/>
        <c:tickMarkSkip val="1"/>
      </c:catAx>
      <c:valAx>
        <c:axId val="51518848"/>
        <c:scaling>
          <c:orientation val="minMax"/>
        </c:scaling>
        <c:axPos val="l"/>
        <c:numFmt formatCode="\$#,##0_);\(\$#,##0\)" sourceLinked="0"/>
        <c:tickLblPos val="nextTo"/>
        <c:txPr>
          <a:bodyPr rot="0" vert="horz"/>
          <a:lstStyle/>
          <a:p>
            <a:pPr>
              <a:defRPr/>
            </a:pPr>
            <a:endParaRPr lang="en-US"/>
          </a:p>
        </c:txPr>
        <c:crossAx val="51517312"/>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49960629925289"/>
          <c:y val="0.22514661347785561"/>
          <c:w val="0.7775003970307226"/>
          <c:h val="0.53840924541128476"/>
        </c:manualLayout>
      </c:layout>
      <c:lineChart>
        <c:grouping val="standard"/>
        <c:ser>
          <c:idx val="0"/>
          <c:order val="0"/>
          <c:dLbls>
            <c:delete val="1"/>
          </c:dLbls>
          <c:val>
            <c:numRef>
              <c:f>'Fund Cover Sheets'!$C$39:$K$39</c:f>
              <c:numCache>
                <c:formatCode>_(* #,##0_);_(* \(#,##0\);_(* "-"??_);_(@_)</c:formatCode>
                <c:ptCount val="9"/>
                <c:pt idx="0">
                  <c:v>4223820</c:v>
                </c:pt>
                <c:pt idx="1">
                  <c:v>3860581</c:v>
                </c:pt>
                <c:pt idx="2">
                  <c:v>3874053</c:v>
                </c:pt>
                <c:pt idx="3">
                  <c:v>4100605</c:v>
                </c:pt>
                <c:pt idx="4">
                  <c:v>4110607</c:v>
                </c:pt>
                <c:pt idx="5">
                  <c:v>3588705</c:v>
                </c:pt>
                <c:pt idx="6">
                  <c:v>2683861</c:v>
                </c:pt>
                <c:pt idx="7">
                  <c:v>1427875</c:v>
                </c:pt>
                <c:pt idx="8">
                  <c:v>-231296</c:v>
                </c:pt>
              </c:numCache>
            </c:numRef>
          </c:val>
        </c:ser>
        <c:dLbls>
          <c:showVal val="1"/>
        </c:dLbls>
        <c:marker val="1"/>
        <c:axId val="55438336"/>
        <c:axId val="55640832"/>
      </c:lineChart>
      <c:catAx>
        <c:axId val="55438336"/>
        <c:scaling>
          <c:orientation val="minMax"/>
        </c:scaling>
        <c:axPos val="b"/>
        <c:tickLblPos val="none"/>
        <c:crossAx val="55640832"/>
        <c:crosses val="autoZero"/>
        <c:lblAlgn val="ctr"/>
        <c:lblOffset val="100"/>
        <c:tickMarkSkip val="1"/>
      </c:catAx>
      <c:valAx>
        <c:axId val="55640832"/>
        <c:scaling>
          <c:orientation val="minMax"/>
        </c:scaling>
        <c:axPos val="l"/>
        <c:numFmt formatCode="\$#,##0_);\(\$#,##0\)" sourceLinked="0"/>
        <c:tickLblPos val="nextTo"/>
        <c:txPr>
          <a:bodyPr rot="0" vert="horz"/>
          <a:lstStyle/>
          <a:p>
            <a:pPr>
              <a:defRPr/>
            </a:pPr>
            <a:endParaRPr lang="en-US"/>
          </a:p>
        </c:txPr>
        <c:crossAx val="55438336"/>
        <c:crosses val="autoZero"/>
        <c:crossBetween val="between"/>
        <c:dispUnits>
          <c:builtInUnit val="thousands"/>
          <c:dispUnitsLbl>
            <c:layout>
              <c:manualLayout>
                <c:xMode val="edge"/>
                <c:yMode val="edge"/>
                <c:x val="0.13842327257378204"/>
                <c:y val="0.19904545814211588"/>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1" i="0" u="none" strike="noStrike" baseline="0">
                <a:solidFill>
                  <a:srgbClr val="000000"/>
                </a:solidFill>
                <a:latin typeface="Arial"/>
                <a:ea typeface="Arial"/>
                <a:cs typeface="Arial"/>
              </a:defRPr>
            </a:pPr>
            <a:r>
              <a:rPr lang="en-US"/>
              <a:t>Fund Balance</a:t>
            </a:r>
          </a:p>
        </c:rich>
      </c:tx>
      <c:layout>
        <c:manualLayout>
          <c:xMode val="edge"/>
          <c:yMode val="edge"/>
          <c:x val="0.4373296079926775"/>
          <c:y val="4.9943330947267994E-2"/>
        </c:manualLayout>
      </c:layout>
      <c:spPr>
        <a:noFill/>
        <a:ln w="25400">
          <a:noFill/>
        </a:ln>
      </c:spPr>
    </c:title>
    <c:plotArea>
      <c:layout>
        <c:manualLayout>
          <c:layoutTarget val="inner"/>
          <c:xMode val="edge"/>
          <c:yMode val="edge"/>
          <c:x val="5.9299681139162924E-2"/>
          <c:y val="0.17946974847047853"/>
          <c:w val="0.92473125950361601"/>
          <c:h val="0.53840924541128476"/>
        </c:manualLayout>
      </c:layout>
      <c:lineChart>
        <c:grouping val="standard"/>
        <c:ser>
          <c:idx val="2"/>
          <c:order val="0"/>
          <c:tx>
            <c:v>Fund Balance</c:v>
          </c:tx>
          <c:spPr>
            <a:ln w="3175">
              <a:solidFill>
                <a:srgbClr val="000000"/>
              </a:solidFill>
              <a:prstDash val="solid"/>
            </a:ln>
          </c:spPr>
          <c:marker>
            <c:symbol val="triangle"/>
            <c:size val="7"/>
            <c:spPr>
              <a:solidFill>
                <a:srgbClr val="000000"/>
              </a:solidFill>
              <a:ln>
                <a:solidFill>
                  <a:srgbClr val="000000"/>
                </a:solidFill>
                <a:prstDash val="solid"/>
              </a:ln>
            </c:spPr>
          </c:marker>
          <c:dLbls>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s>
          <c:val>
            <c:numLit>
              <c:formatCode>General</c:formatCode>
              <c:ptCount val="5"/>
              <c:pt idx="0">
                <c:v>-534828</c:v>
              </c:pt>
              <c:pt idx="1">
                <c:v>-2374704</c:v>
              </c:pt>
              <c:pt idx="2">
                <c:v>270222</c:v>
              </c:pt>
              <c:pt idx="3">
                <c:v>-1131924</c:v>
              </c:pt>
              <c:pt idx="4">
                <c:v>-1068555</c:v>
              </c:pt>
            </c:numLit>
          </c:val>
        </c:ser>
        <c:dLbls>
          <c:showVal val="1"/>
        </c:dLbls>
        <c:marker val="1"/>
        <c:axId val="55677696"/>
        <c:axId val="55679232"/>
      </c:lineChart>
      <c:catAx>
        <c:axId val="55677696"/>
        <c:scaling>
          <c:orientation val="minMax"/>
        </c:scaling>
        <c:axPos val="b"/>
        <c:numFmt formatCode="General" sourceLinked="1"/>
        <c:tickLblPos val="nextTo"/>
        <c:spPr>
          <a:ln w="3175">
            <a:solidFill>
              <a:srgbClr val="000000"/>
            </a:solidFill>
            <a:prstDash val="solid"/>
          </a:ln>
        </c:spPr>
        <c:txPr>
          <a:bodyPr rot="-3180000" vert="horz"/>
          <a:lstStyle/>
          <a:p>
            <a:pPr>
              <a:defRPr sz="450" b="0" i="0" u="none" strike="noStrike" baseline="0">
                <a:solidFill>
                  <a:srgbClr val="000000"/>
                </a:solidFill>
                <a:latin typeface="Arial"/>
                <a:ea typeface="Arial"/>
                <a:cs typeface="Arial"/>
              </a:defRPr>
            </a:pPr>
            <a:endParaRPr lang="en-US"/>
          </a:p>
        </c:txPr>
        <c:crossAx val="55679232"/>
        <c:crosses val="autoZero"/>
        <c:lblAlgn val="ctr"/>
        <c:lblOffset val="100"/>
        <c:tickLblSkip val="1"/>
        <c:tickMarkSkip val="1"/>
      </c:catAx>
      <c:valAx>
        <c:axId val="55679232"/>
        <c:scaling>
          <c:orientation val="minMax"/>
        </c:scaling>
        <c:axPos val="l"/>
        <c:numFmt formatCode="\$#,##0_);\(\$#,##0\)" sourceLinked="0"/>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en-US"/>
          </a:p>
        </c:txPr>
        <c:crossAx val="55677696"/>
        <c:crosses val="autoZero"/>
        <c:crossBetween val="between"/>
        <c:dispUnits>
          <c:builtInUnit val="thousands"/>
          <c:dispUnitsLbl>
            <c:layout>
              <c:manualLayout>
                <c:xMode val="edge"/>
                <c:yMode val="edge"/>
                <c:x val="2.5885558583107492E-2"/>
                <c:y val="0.28149829738941479"/>
              </c:manualLayout>
            </c:layout>
            <c:spPr>
              <a:noFill/>
              <a:ln w="25400">
                <a:noFill/>
              </a:ln>
            </c:spPr>
            <c:txPr>
              <a:bodyPr rot="-5400000" vert="horz"/>
              <a:lstStyle/>
              <a:p>
                <a:pPr algn="ctr">
                  <a:defRPr sz="525" b="1" i="0" u="none" strike="noStrike" baseline="0">
                    <a:solidFill>
                      <a:srgbClr val="000000"/>
                    </a:solidFill>
                    <a:latin typeface="Arial"/>
                    <a:ea typeface="Arial"/>
                    <a:cs typeface="Arial"/>
                  </a:defRPr>
                </a:pPr>
                <a:endParaRPr lang="en-US"/>
              </a:p>
            </c:txPr>
          </c:dispUnitsLbl>
        </c:dispUnits>
      </c:valAx>
      <c:spPr>
        <a:solidFill>
          <a:srgbClr val="FFFFFF"/>
        </a:solidFill>
        <a:ln w="12700">
          <a:solidFill>
            <a:srgbClr val="FFFFFF"/>
          </a:solidFill>
          <a:prstDash val="solid"/>
        </a:ln>
      </c:spPr>
    </c:plotArea>
    <c:plotVisOnly val="1"/>
    <c:dispBlanksAs val="gap"/>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18" Type="http://schemas.openxmlformats.org/officeDocument/2006/relationships/chart" Target="../charts/chart25.xml"/><Relationship Id="rId3" Type="http://schemas.openxmlformats.org/officeDocument/2006/relationships/chart" Target="../charts/chart10.xml"/><Relationship Id="rId21" Type="http://schemas.openxmlformats.org/officeDocument/2006/relationships/chart" Target="../charts/chart28.xml"/><Relationship Id="rId7" Type="http://schemas.openxmlformats.org/officeDocument/2006/relationships/chart" Target="../charts/chart14.xml"/><Relationship Id="rId12" Type="http://schemas.openxmlformats.org/officeDocument/2006/relationships/chart" Target="../charts/chart19.xml"/><Relationship Id="rId17" Type="http://schemas.openxmlformats.org/officeDocument/2006/relationships/chart" Target="../charts/chart24.xml"/><Relationship Id="rId2" Type="http://schemas.openxmlformats.org/officeDocument/2006/relationships/chart" Target="../charts/chart9.xml"/><Relationship Id="rId16" Type="http://schemas.openxmlformats.org/officeDocument/2006/relationships/chart" Target="../charts/chart23.xml"/><Relationship Id="rId20" Type="http://schemas.openxmlformats.org/officeDocument/2006/relationships/chart" Target="../charts/chart27.xml"/><Relationship Id="rId1" Type="http://schemas.openxmlformats.org/officeDocument/2006/relationships/chart" Target="../charts/chart8.xml"/><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5" Type="http://schemas.openxmlformats.org/officeDocument/2006/relationships/chart" Target="../charts/chart22.xml"/><Relationship Id="rId23" Type="http://schemas.openxmlformats.org/officeDocument/2006/relationships/chart" Target="../charts/chart30.xml"/><Relationship Id="rId10" Type="http://schemas.openxmlformats.org/officeDocument/2006/relationships/chart" Target="../charts/chart17.xml"/><Relationship Id="rId19" Type="http://schemas.openxmlformats.org/officeDocument/2006/relationships/chart" Target="../charts/chart26.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chart" Target="../charts/chart21.xml"/><Relationship Id="rId22" Type="http://schemas.openxmlformats.org/officeDocument/2006/relationships/chart" Target="../charts/chart29.xml"/></Relationships>
</file>

<file path=xl/drawings/drawing1.xml><?xml version="1.0" encoding="utf-8"?>
<xdr:wsDr xmlns:xdr="http://schemas.openxmlformats.org/drawingml/2006/spreadsheetDrawing" xmlns:a="http://schemas.openxmlformats.org/drawingml/2006/main">
  <xdr:twoCellAnchor>
    <xdr:from>
      <xdr:col>1</xdr:col>
      <xdr:colOff>38099</xdr:colOff>
      <xdr:row>19</xdr:row>
      <xdr:rowOff>190500</xdr:rowOff>
    </xdr:from>
    <xdr:to>
      <xdr:col>10</xdr:col>
      <xdr:colOff>809625</xdr:colOff>
      <xdr:row>31</xdr:row>
      <xdr:rowOff>133350</xdr:rowOff>
    </xdr:to>
    <xdr:graphicFrame macro="">
      <xdr:nvGraphicFramePr>
        <xdr:cNvPr id="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9523</xdr:colOff>
      <xdr:row>54</xdr:row>
      <xdr:rowOff>7620</xdr:rowOff>
    </xdr:from>
    <xdr:to>
      <xdr:col>10</xdr:col>
      <xdr:colOff>819150</xdr:colOff>
      <xdr:row>64</xdr:row>
      <xdr:rowOff>38100</xdr:rowOff>
    </xdr:to>
    <xdr:graphicFrame macro="">
      <xdr:nvGraphicFramePr>
        <xdr:cNvPr id="2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209548</xdr:colOff>
      <xdr:row>84</xdr:row>
      <xdr:rowOff>160020</xdr:rowOff>
    </xdr:from>
    <xdr:to>
      <xdr:col>10</xdr:col>
      <xdr:colOff>847724</xdr:colOff>
      <xdr:row>98</xdr:row>
      <xdr:rowOff>22860</xdr:rowOff>
    </xdr:to>
    <xdr:graphicFrame macro="">
      <xdr:nvGraphicFramePr>
        <xdr:cNvPr id="3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188595</xdr:colOff>
      <xdr:row>121</xdr:row>
      <xdr:rowOff>7620</xdr:rowOff>
    </xdr:from>
    <xdr:to>
      <xdr:col>10</xdr:col>
      <xdr:colOff>838200</xdr:colOff>
      <xdr:row>131</xdr:row>
      <xdr:rowOff>38100</xdr:rowOff>
    </xdr:to>
    <xdr:graphicFrame macro="">
      <xdr:nvGraphicFramePr>
        <xdr:cNvPr id="3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152</xdr:row>
      <xdr:rowOff>182880</xdr:rowOff>
    </xdr:from>
    <xdr:to>
      <xdr:col>10</xdr:col>
      <xdr:colOff>838199</xdr:colOff>
      <xdr:row>164</xdr:row>
      <xdr:rowOff>152400</xdr:rowOff>
    </xdr:to>
    <xdr:graphicFrame macro="">
      <xdr:nvGraphicFramePr>
        <xdr:cNvPr id="3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209549</xdr:colOff>
      <xdr:row>188</xdr:row>
      <xdr:rowOff>0</xdr:rowOff>
    </xdr:from>
    <xdr:to>
      <xdr:col>10</xdr:col>
      <xdr:colOff>819150</xdr:colOff>
      <xdr:row>201</xdr:row>
      <xdr:rowOff>0</xdr:rowOff>
    </xdr:to>
    <xdr:graphicFrame macro="">
      <xdr:nvGraphicFramePr>
        <xdr:cNvPr id="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72</xdr:row>
      <xdr:rowOff>0</xdr:rowOff>
    </xdr:from>
    <xdr:to>
      <xdr:col>10</xdr:col>
      <xdr:colOff>809625</xdr:colOff>
      <xdr:row>81</xdr:row>
      <xdr:rowOff>161925</xdr:rowOff>
    </xdr:to>
    <xdr:graphicFrame macro="">
      <xdr:nvGraphicFramePr>
        <xdr:cNvPr id="2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28573</xdr:colOff>
      <xdr:row>43</xdr:row>
      <xdr:rowOff>6351</xdr:rowOff>
    </xdr:from>
    <xdr:to>
      <xdr:col>10</xdr:col>
      <xdr:colOff>838199</xdr:colOff>
      <xdr:row>53</xdr:row>
      <xdr:rowOff>47625</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87</xdr:row>
      <xdr:rowOff>0</xdr:rowOff>
    </xdr:from>
    <xdr:to>
      <xdr:col>2</xdr:col>
      <xdr:colOff>590550</xdr:colOff>
      <xdr:row>95</xdr:row>
      <xdr:rowOff>152400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86</xdr:row>
      <xdr:rowOff>190499</xdr:rowOff>
    </xdr:from>
    <xdr:to>
      <xdr:col>10</xdr:col>
      <xdr:colOff>838200</xdr:colOff>
      <xdr:row>96</xdr:row>
      <xdr:rowOff>180974</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130</xdr:row>
      <xdr:rowOff>123825</xdr:rowOff>
    </xdr:from>
    <xdr:to>
      <xdr:col>10</xdr:col>
      <xdr:colOff>838200</xdr:colOff>
      <xdr:row>140</xdr:row>
      <xdr:rowOff>123824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176</xdr:row>
      <xdr:rowOff>38099</xdr:rowOff>
    </xdr:from>
    <xdr:to>
      <xdr:col>10</xdr:col>
      <xdr:colOff>828675</xdr:colOff>
      <xdr:row>187</xdr:row>
      <xdr:rowOff>28574</xdr:rowOff>
    </xdr:to>
    <xdr:graphicFrame macro="">
      <xdr:nvGraphicFramePr>
        <xdr:cNvPr id="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220</xdr:row>
      <xdr:rowOff>0</xdr:rowOff>
    </xdr:from>
    <xdr:to>
      <xdr:col>2</xdr:col>
      <xdr:colOff>590550</xdr:colOff>
      <xdr:row>228</xdr:row>
      <xdr:rowOff>152400</xdr:rowOff>
    </xdr:to>
    <xdr:graphicFrame macro="">
      <xdr:nvGraphicFramePr>
        <xdr:cNvPr id="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219</xdr:row>
      <xdr:rowOff>190499</xdr:rowOff>
    </xdr:from>
    <xdr:to>
      <xdr:col>10</xdr:col>
      <xdr:colOff>809625</xdr:colOff>
      <xdr:row>229</xdr:row>
      <xdr:rowOff>161924</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28576</xdr:colOff>
      <xdr:row>520</xdr:row>
      <xdr:rowOff>66674</xdr:rowOff>
    </xdr:from>
    <xdr:to>
      <xdr:col>10</xdr:col>
      <xdr:colOff>790575</xdr:colOff>
      <xdr:row>530</xdr:row>
      <xdr:rowOff>180975</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228600</xdr:colOff>
      <xdr:row>569</xdr:row>
      <xdr:rowOff>152399</xdr:rowOff>
    </xdr:from>
    <xdr:to>
      <xdr:col>10</xdr:col>
      <xdr:colOff>781050</xdr:colOff>
      <xdr:row>579</xdr:row>
      <xdr:rowOff>142874</xdr:rowOff>
    </xdr:to>
    <xdr:graphicFrame macro="">
      <xdr:nvGraphicFramePr>
        <xdr:cNvPr id="1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228599</xdr:colOff>
      <xdr:row>623</xdr:row>
      <xdr:rowOff>95250</xdr:rowOff>
    </xdr:from>
    <xdr:to>
      <xdr:col>10</xdr:col>
      <xdr:colOff>838200</xdr:colOff>
      <xdr:row>632</xdr:row>
      <xdr:rowOff>152400</xdr:rowOff>
    </xdr:to>
    <xdr:graphicFrame macro="">
      <xdr:nvGraphicFramePr>
        <xdr:cNvPr id="1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247649</xdr:colOff>
      <xdr:row>673</xdr:row>
      <xdr:rowOff>76199</xdr:rowOff>
    </xdr:from>
    <xdr:to>
      <xdr:col>10</xdr:col>
      <xdr:colOff>761999</xdr:colOff>
      <xdr:row>683</xdr:row>
      <xdr:rowOff>76199</xdr:rowOff>
    </xdr:to>
    <xdr:graphicFrame macro="">
      <xdr:nvGraphicFramePr>
        <xdr:cNvPr id="1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12699</xdr:colOff>
      <xdr:row>729</xdr:row>
      <xdr:rowOff>82549</xdr:rowOff>
    </xdr:from>
    <xdr:to>
      <xdr:col>10</xdr:col>
      <xdr:colOff>828675</xdr:colOff>
      <xdr:row>739</xdr:row>
      <xdr:rowOff>133350</xdr:rowOff>
    </xdr:to>
    <xdr:graphicFrame macro="">
      <xdr:nvGraphicFramePr>
        <xdr:cNvPr id="1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247649</xdr:colOff>
      <xdr:row>775</xdr:row>
      <xdr:rowOff>95249</xdr:rowOff>
    </xdr:from>
    <xdr:to>
      <xdr:col>10</xdr:col>
      <xdr:colOff>800100</xdr:colOff>
      <xdr:row>785</xdr:row>
      <xdr:rowOff>95249</xdr:rowOff>
    </xdr:to>
    <xdr:graphicFrame macro="">
      <xdr:nvGraphicFramePr>
        <xdr:cNvPr id="1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238125</xdr:colOff>
      <xdr:row>821</xdr:row>
      <xdr:rowOff>152399</xdr:rowOff>
    </xdr:from>
    <xdr:to>
      <xdr:col>10</xdr:col>
      <xdr:colOff>800100</xdr:colOff>
      <xdr:row>831</xdr:row>
      <xdr:rowOff>152399</xdr:rowOff>
    </xdr:to>
    <xdr:graphicFrame macro="">
      <xdr:nvGraphicFramePr>
        <xdr:cNvPr id="1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228601</xdr:colOff>
      <xdr:row>870</xdr:row>
      <xdr:rowOff>9524</xdr:rowOff>
    </xdr:from>
    <xdr:to>
      <xdr:col>10</xdr:col>
      <xdr:colOff>781050</xdr:colOff>
      <xdr:row>879</xdr:row>
      <xdr:rowOff>142875</xdr:rowOff>
    </xdr:to>
    <xdr:graphicFrame macro="">
      <xdr:nvGraphicFramePr>
        <xdr:cNvPr id="2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9526</xdr:colOff>
      <xdr:row>917</xdr:row>
      <xdr:rowOff>28574</xdr:rowOff>
    </xdr:from>
    <xdr:to>
      <xdr:col>10</xdr:col>
      <xdr:colOff>809625</xdr:colOff>
      <xdr:row>926</xdr:row>
      <xdr:rowOff>95249</xdr:rowOff>
    </xdr:to>
    <xdr:graphicFrame macro="">
      <xdr:nvGraphicFramePr>
        <xdr:cNvPr id="2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247649</xdr:colOff>
      <xdr:row>410</xdr:row>
      <xdr:rowOff>95249</xdr:rowOff>
    </xdr:from>
    <xdr:to>
      <xdr:col>10</xdr:col>
      <xdr:colOff>790575</xdr:colOff>
      <xdr:row>420</xdr:row>
      <xdr:rowOff>38099</xdr:rowOff>
    </xdr:to>
    <xdr:graphicFrame macro="">
      <xdr:nvGraphicFramePr>
        <xdr:cNvPr id="2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238125</xdr:colOff>
      <xdr:row>278</xdr:row>
      <xdr:rowOff>114300</xdr:rowOff>
    </xdr:from>
    <xdr:to>
      <xdr:col>10</xdr:col>
      <xdr:colOff>800100</xdr:colOff>
      <xdr:row>290</xdr:row>
      <xdr:rowOff>47625</xdr:rowOff>
    </xdr:to>
    <xdr:graphicFrame macro="">
      <xdr:nvGraphicFramePr>
        <xdr:cNvPr id="2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364</xdr:row>
      <xdr:rowOff>0</xdr:rowOff>
    </xdr:from>
    <xdr:to>
      <xdr:col>10</xdr:col>
      <xdr:colOff>809625</xdr:colOff>
      <xdr:row>373</xdr:row>
      <xdr:rowOff>161925</xdr:rowOff>
    </xdr:to>
    <xdr:graphicFrame macro="">
      <xdr:nvGraphicFramePr>
        <xdr:cNvPr id="2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465</xdr:row>
      <xdr:rowOff>0</xdr:rowOff>
    </xdr:from>
    <xdr:to>
      <xdr:col>10</xdr:col>
      <xdr:colOff>790576</xdr:colOff>
      <xdr:row>474</xdr:row>
      <xdr:rowOff>133350</xdr:rowOff>
    </xdr:to>
    <xdr:graphicFrame macro="">
      <xdr:nvGraphicFramePr>
        <xdr:cNvPr id="3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28573</xdr:colOff>
      <xdr:row>979</xdr:row>
      <xdr:rowOff>6351</xdr:rowOff>
    </xdr:from>
    <xdr:to>
      <xdr:col>10</xdr:col>
      <xdr:colOff>838199</xdr:colOff>
      <xdr:row>989</xdr:row>
      <xdr:rowOff>47625</xdr:rowOff>
    </xdr:to>
    <xdr:graphicFrame macro="">
      <xdr:nvGraphicFramePr>
        <xdr:cNvPr id="3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12699</xdr:colOff>
      <xdr:row>1038</xdr:row>
      <xdr:rowOff>82549</xdr:rowOff>
    </xdr:from>
    <xdr:to>
      <xdr:col>10</xdr:col>
      <xdr:colOff>828675</xdr:colOff>
      <xdr:row>1049</xdr:row>
      <xdr:rowOff>50800</xdr:rowOff>
    </xdr:to>
    <xdr:graphicFrame macro="">
      <xdr:nvGraphicFramePr>
        <xdr:cNvPr id="3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228599</xdr:colOff>
      <xdr:row>1094</xdr:row>
      <xdr:rowOff>95250</xdr:rowOff>
    </xdr:from>
    <xdr:to>
      <xdr:col>10</xdr:col>
      <xdr:colOff>838200</xdr:colOff>
      <xdr:row>1103</xdr:row>
      <xdr:rowOff>85725</xdr:rowOff>
    </xdr:to>
    <xdr:graphicFrame macro="">
      <xdr:nvGraphicFramePr>
        <xdr:cNvPr id="3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O105"/>
  <sheetViews>
    <sheetView topLeftCell="A25" zoomScaleNormal="100" zoomScaleSheetLayoutView="85" workbookViewId="0">
      <selection activeCell="D25" sqref="D25"/>
    </sheetView>
  </sheetViews>
  <sheetFormatPr defaultColWidth="10.42578125" defaultRowHeight="15"/>
  <cols>
    <col min="1" max="1" width="3.7109375" style="1" customWidth="1"/>
    <col min="2" max="2" width="25.5703125" style="1" customWidth="1"/>
    <col min="3" max="11" width="12.7109375" style="1" customWidth="1"/>
    <col min="12" max="12" width="10.42578125" style="1"/>
    <col min="13" max="13" width="14.85546875" style="1" hidden="1" customWidth="1"/>
    <col min="14" max="14" width="23.42578125" style="1" hidden="1" customWidth="1"/>
    <col min="15" max="15" width="12.28515625" style="1" hidden="1" customWidth="1"/>
    <col min="16" max="16384" width="10.42578125" style="1"/>
  </cols>
  <sheetData>
    <row r="1" spans="1:15" s="63" customFormat="1" ht="24" customHeight="1">
      <c r="B1" s="728" t="s">
        <v>892</v>
      </c>
      <c r="C1" s="728"/>
      <c r="D1" s="728"/>
      <c r="E1" s="728"/>
      <c r="F1" s="728"/>
      <c r="G1" s="728"/>
      <c r="H1" s="728"/>
      <c r="I1" s="728"/>
      <c r="J1" s="728"/>
      <c r="K1" s="728"/>
    </row>
    <row r="2" spans="1:15" s="63" customFormat="1" ht="24" customHeight="1">
      <c r="B2" s="729" t="s">
        <v>893</v>
      </c>
      <c r="C2" s="729"/>
      <c r="D2" s="729"/>
      <c r="E2" s="729"/>
      <c r="F2" s="729"/>
      <c r="G2" s="729"/>
      <c r="H2" s="729"/>
      <c r="I2" s="729"/>
      <c r="J2" s="729"/>
      <c r="K2" s="729"/>
    </row>
    <row r="3" spans="1:15" s="63" customFormat="1" ht="24" customHeight="1">
      <c r="B3" s="728" t="s">
        <v>1339</v>
      </c>
      <c r="C3" s="728"/>
      <c r="D3" s="728"/>
      <c r="E3" s="728"/>
      <c r="F3" s="728"/>
      <c r="G3" s="728"/>
      <c r="H3" s="728"/>
      <c r="I3" s="728"/>
      <c r="J3" s="728"/>
      <c r="K3" s="728"/>
    </row>
    <row r="4" spans="1:15" ht="15" customHeight="1">
      <c r="A4" s="64"/>
    </row>
    <row r="5" spans="1:15" ht="15" customHeight="1">
      <c r="A5" s="64"/>
      <c r="B5" s="64"/>
      <c r="C5" s="65"/>
      <c r="D5" s="65"/>
      <c r="E5" s="66" t="s">
        <v>270</v>
      </c>
      <c r="F5" s="65"/>
    </row>
    <row r="6" spans="1:15" ht="15" customHeight="1">
      <c r="C6" s="65" t="s">
        <v>257</v>
      </c>
      <c r="D6" s="65" t="s">
        <v>258</v>
      </c>
      <c r="E6" s="49" t="s">
        <v>832</v>
      </c>
      <c r="F6" s="66" t="s">
        <v>270</v>
      </c>
      <c r="G6" s="66" t="s">
        <v>271</v>
      </c>
      <c r="H6" s="66" t="s">
        <v>272</v>
      </c>
      <c r="I6" s="66" t="s">
        <v>996</v>
      </c>
      <c r="J6" s="66" t="s">
        <v>1101</v>
      </c>
      <c r="K6" s="66" t="s">
        <v>1136</v>
      </c>
    </row>
    <row r="7" spans="1:15" ht="15" customHeight="1" thickBot="1">
      <c r="B7" s="67" t="s">
        <v>894</v>
      </c>
      <c r="C7" s="68" t="s">
        <v>1</v>
      </c>
      <c r="D7" s="68" t="s">
        <v>1</v>
      </c>
      <c r="E7" s="68" t="s">
        <v>787</v>
      </c>
      <c r="F7" s="68" t="s">
        <v>19</v>
      </c>
      <c r="G7" s="68" t="s">
        <v>832</v>
      </c>
      <c r="H7" s="68" t="s">
        <v>19</v>
      </c>
      <c r="I7" s="68" t="s">
        <v>19</v>
      </c>
      <c r="J7" s="68" t="s">
        <v>19</v>
      </c>
      <c r="K7" s="68" t="s">
        <v>19</v>
      </c>
    </row>
    <row r="8" spans="1:15" ht="15" customHeight="1">
      <c r="B8" s="69"/>
      <c r="C8" s="70"/>
      <c r="D8" s="70"/>
      <c r="E8" s="70"/>
      <c r="F8" s="70"/>
      <c r="G8" s="70"/>
      <c r="H8" s="70"/>
      <c r="I8" s="70"/>
      <c r="J8" s="70"/>
      <c r="M8" s="554" t="s">
        <v>1145</v>
      </c>
      <c r="N8" s="554" t="s">
        <v>1144</v>
      </c>
      <c r="O8" s="353" t="s">
        <v>1138</v>
      </c>
    </row>
    <row r="9" spans="1:15" ht="24" customHeight="1">
      <c r="A9" s="71" t="s">
        <v>895</v>
      </c>
      <c r="C9" s="2">
        <f>'Budget Detail FY 2013-20'!L62</f>
        <v>13314810</v>
      </c>
      <c r="D9" s="2">
        <f>'Budget Detail FY 2013-20'!M62</f>
        <v>13445145</v>
      </c>
      <c r="E9" s="2">
        <f>'Budget Detail FY 2013-20'!N62</f>
        <v>13726625</v>
      </c>
      <c r="F9" s="2">
        <f>'Budget Detail FY 2013-20'!O62</f>
        <v>13917067</v>
      </c>
      <c r="G9" s="2">
        <f>'Budget Detail FY 2013-20'!P62</f>
        <v>14200637</v>
      </c>
      <c r="H9" s="2">
        <f>'Budget Detail FY 2013-20'!Q62</f>
        <v>14310727</v>
      </c>
      <c r="I9" s="2">
        <f>'Budget Detail FY 2013-20'!R62</f>
        <v>14469180</v>
      </c>
      <c r="J9" s="2">
        <f>'Budget Detail FY 2013-20'!S62</f>
        <v>14631787</v>
      </c>
      <c r="K9" s="2">
        <f>'Budget Detail FY 2013-20'!T62</f>
        <v>14748863</v>
      </c>
      <c r="M9" s="555">
        <f>SUM(C9:L9)</f>
        <v>126764841</v>
      </c>
      <c r="N9" s="555">
        <f>SUM('Fund Cover Sheets'!C20:K20)</f>
        <v>126764841</v>
      </c>
      <c r="O9" s="677">
        <f>M9-N9</f>
        <v>0</v>
      </c>
    </row>
    <row r="10" spans="1:15" ht="15" customHeight="1">
      <c r="A10" s="71"/>
      <c r="C10" s="2"/>
      <c r="D10" s="2"/>
      <c r="E10" s="2"/>
      <c r="F10" s="2"/>
      <c r="G10" s="2"/>
      <c r="H10" s="2"/>
      <c r="I10" s="2"/>
      <c r="J10" s="2"/>
      <c r="K10" s="2"/>
      <c r="M10" s="555"/>
      <c r="N10" s="555"/>
      <c r="O10" s="180"/>
    </row>
    <row r="11" spans="1:15" ht="24" customHeight="1">
      <c r="A11" s="71" t="s">
        <v>896</v>
      </c>
      <c r="C11" s="2"/>
      <c r="D11" s="2"/>
      <c r="E11" s="2"/>
      <c r="F11" s="2"/>
      <c r="G11" s="2"/>
      <c r="H11" s="2"/>
      <c r="I11" s="2"/>
      <c r="J11" s="2"/>
      <c r="K11" s="2"/>
      <c r="M11" s="555"/>
      <c r="N11" s="555"/>
      <c r="O11" s="180"/>
    </row>
    <row r="12" spans="1:15" ht="24" customHeight="1">
      <c r="A12" s="71"/>
      <c r="B12" s="1" t="s">
        <v>815</v>
      </c>
      <c r="C12" s="2">
        <f>'Budget Detail FY 2013-20'!L333</f>
        <v>518843</v>
      </c>
      <c r="D12" s="2">
        <f>'Budget Detail FY 2013-20'!M333</f>
        <v>815699</v>
      </c>
      <c r="E12" s="2">
        <f>'Budget Detail FY 2013-20'!N333</f>
        <v>483000</v>
      </c>
      <c r="F12" s="2">
        <f>'Budget Detail FY 2013-20'!O333</f>
        <v>947711</v>
      </c>
      <c r="G12" s="2">
        <f>'Budget Detail FY 2013-20'!P333</f>
        <v>484000</v>
      </c>
      <c r="H12" s="2">
        <f>'Budget Detail FY 2013-20'!Q333</f>
        <v>454000</v>
      </c>
      <c r="I12" s="2">
        <f>'Budget Detail FY 2013-20'!R333</f>
        <v>454000</v>
      </c>
      <c r="J12" s="2">
        <f>'Budget Detail FY 2013-20'!S333</f>
        <v>454000</v>
      </c>
      <c r="K12" s="2">
        <f>'Budget Detail FY 2013-20'!T333</f>
        <v>454000</v>
      </c>
      <c r="M12" s="555">
        <f t="shared" ref="M12:M18" si="0">SUM(C12:L12)</f>
        <v>5065253</v>
      </c>
      <c r="N12" s="555">
        <f>SUM('Fund Cover Sheets'!C157:K157)</f>
        <v>5065253</v>
      </c>
      <c r="O12" s="677">
        <f t="shared" ref="O12:O18" si="1">M12-N12</f>
        <v>0</v>
      </c>
    </row>
    <row r="13" spans="1:15" ht="24" customHeight="1">
      <c r="A13" s="72"/>
      <c r="B13" s="69" t="s">
        <v>897</v>
      </c>
      <c r="C13" s="73">
        <f>'Budget Detail FY 2013-20'!L803</f>
        <v>1438559</v>
      </c>
      <c r="D13" s="73">
        <f>'Budget Detail FY 2013-20'!M803</f>
        <v>2289916</v>
      </c>
      <c r="E13" s="73">
        <f>'Budget Detail FY 2013-20'!N803</f>
        <v>1765856</v>
      </c>
      <c r="F13" s="73">
        <f>'Budget Detail FY 2013-20'!O803</f>
        <v>1784256</v>
      </c>
      <c r="G13" s="73">
        <f>'Budget Detail FY 2013-20'!P803</f>
        <v>1583231</v>
      </c>
      <c r="H13" s="73">
        <f>'Budget Detail FY 2013-20'!Q803</f>
        <v>1859084</v>
      </c>
      <c r="I13" s="73">
        <f>'Budget Detail FY 2013-20'!R803</f>
        <v>1921193</v>
      </c>
      <c r="J13" s="73">
        <f>'Budget Detail FY 2013-20'!S803</f>
        <v>1986621</v>
      </c>
      <c r="K13" s="73">
        <f>'Budget Detail FY 2013-20'!T803</f>
        <v>2056034</v>
      </c>
      <c r="M13" s="555">
        <f t="shared" si="0"/>
        <v>16684750</v>
      </c>
      <c r="N13" s="555">
        <f>SUM('Fund Cover Sheets'!C600:K600)</f>
        <v>16684750</v>
      </c>
      <c r="O13" s="677">
        <f t="shared" si="1"/>
        <v>0</v>
      </c>
    </row>
    <row r="14" spans="1:15" ht="24" customHeight="1">
      <c r="A14" s="72"/>
      <c r="B14" s="69" t="s">
        <v>681</v>
      </c>
      <c r="C14" s="73">
        <f>'Budget Detail FY 2013-20'!L767</f>
        <v>468768</v>
      </c>
      <c r="D14" s="73">
        <f>'Budget Detail FY 2013-20'!M767</f>
        <v>137602</v>
      </c>
      <c r="E14" s="73">
        <f>'Budget Detail FY 2013-20'!N767</f>
        <v>73000</v>
      </c>
      <c r="F14" s="73">
        <f>'Budget Detail FY 2013-20'!O767</f>
        <v>161860</v>
      </c>
      <c r="G14" s="73">
        <f>'Budget Detail FY 2013-20'!P767</f>
        <v>430500</v>
      </c>
      <c r="H14" s="73">
        <f>'Budget Detail FY 2013-20'!Q767</f>
        <v>430500</v>
      </c>
      <c r="I14" s="73">
        <f>'Budget Detail FY 2013-20'!R767</f>
        <v>30500</v>
      </c>
      <c r="J14" s="73">
        <f>'Budget Detail FY 2013-20'!S767</f>
        <v>30500</v>
      </c>
      <c r="K14" s="73">
        <f>'Budget Detail FY 2013-20'!T767</f>
        <v>30500</v>
      </c>
      <c r="M14" s="555">
        <f t="shared" si="0"/>
        <v>1793730</v>
      </c>
      <c r="N14" s="555">
        <f>SUM('Fund Cover Sheets'!C551:K551)</f>
        <v>1793730</v>
      </c>
      <c r="O14" s="677">
        <f t="shared" si="1"/>
        <v>0</v>
      </c>
    </row>
    <row r="15" spans="1:15" ht="24" customHeight="1">
      <c r="A15" s="72"/>
      <c r="B15" s="69" t="s">
        <v>588</v>
      </c>
      <c r="C15" s="73">
        <f>'Budget Detail FY 2013-20'!L1041</f>
        <v>2132</v>
      </c>
      <c r="D15" s="73">
        <f>'Budget Detail FY 2013-20'!M1041</f>
        <v>1237149</v>
      </c>
      <c r="E15" s="73">
        <f>'Budget Detail FY 2013-20'!N1041</f>
        <v>20000</v>
      </c>
      <c r="F15" s="73">
        <f>'Budget Detail FY 2013-20'!O1041</f>
        <v>9295</v>
      </c>
      <c r="G15" s="73">
        <f>'Budget Detail FY 2013-20'!P1041</f>
        <v>100000</v>
      </c>
      <c r="H15" s="73">
        <f>'Budget Detail FY 2013-20'!Q1041</f>
        <v>100000</v>
      </c>
      <c r="I15" s="73">
        <f>'Budget Detail FY 2013-20'!R1041</f>
        <v>100000</v>
      </c>
      <c r="J15" s="73">
        <f>'Budget Detail FY 2013-20'!S1041</f>
        <v>100000</v>
      </c>
      <c r="K15" s="73">
        <f>'Budget Detail FY 2013-20'!T1041</f>
        <v>100000</v>
      </c>
      <c r="M15" s="555">
        <f t="shared" si="0"/>
        <v>1768576</v>
      </c>
      <c r="N15" s="555">
        <f>SUM('Fund Cover Sheets'!C849:K849)</f>
        <v>1768576</v>
      </c>
      <c r="O15" s="677">
        <f t="shared" si="1"/>
        <v>0</v>
      </c>
    </row>
    <row r="16" spans="1:15" ht="24" customHeight="1">
      <c r="A16" s="72"/>
      <c r="B16" s="69" t="s">
        <v>593</v>
      </c>
      <c r="C16" s="73">
        <f>'Budget Detail FY 2013-20'!L1073</f>
        <v>45408</v>
      </c>
      <c r="D16" s="73">
        <f>'Budget Detail FY 2013-20'!M1073</f>
        <v>71006</v>
      </c>
      <c r="E16" s="73">
        <f>'Budget Detail FY 2013-20'!N1073</f>
        <v>85075</v>
      </c>
      <c r="F16" s="73">
        <f>'Budget Detail FY 2013-20'!O1073</f>
        <v>60077</v>
      </c>
      <c r="G16" s="73">
        <f>'Budget Detail FY 2013-20'!P1073</f>
        <v>65050</v>
      </c>
      <c r="H16" s="73">
        <f>'Budget Detail FY 2013-20'!Q1073</f>
        <v>70050</v>
      </c>
      <c r="I16" s="73">
        <f>'Budget Detail FY 2013-20'!R1073</f>
        <v>70050</v>
      </c>
      <c r="J16" s="73">
        <f>'Budget Detail FY 2013-20'!S1073</f>
        <v>75050</v>
      </c>
      <c r="K16" s="73">
        <f>'Budget Detail FY 2013-20'!T1073</f>
        <v>75050</v>
      </c>
      <c r="M16" s="555">
        <f t="shared" si="0"/>
        <v>616816</v>
      </c>
      <c r="N16" s="555">
        <f>SUM('Fund Cover Sheets'!C897:K897)</f>
        <v>616816</v>
      </c>
      <c r="O16" s="677">
        <f t="shared" si="1"/>
        <v>0</v>
      </c>
    </row>
    <row r="17" spans="1:15" ht="24" customHeight="1">
      <c r="A17" s="72"/>
      <c r="B17" s="69" t="s">
        <v>898</v>
      </c>
      <c r="C17" s="73">
        <f>'Budget Detail FY 2013-20'!L289</f>
        <v>3796</v>
      </c>
      <c r="D17" s="73">
        <f>'Budget Detail FY 2013-20'!M289</f>
        <v>3787</v>
      </c>
      <c r="E17" s="73">
        <f>'Budget Detail FY 2013-20'!N289</f>
        <v>8536</v>
      </c>
      <c r="F17" s="73">
        <f>'Budget Detail FY 2013-20'!O289</f>
        <v>8536</v>
      </c>
      <c r="G17" s="73">
        <f>'Budget Detail FY 2013-20'!P289</f>
        <v>7073</v>
      </c>
      <c r="H17" s="73">
        <f>'Budget Detail FY 2013-20'!Q289</f>
        <v>7073</v>
      </c>
      <c r="I17" s="73">
        <f>'Budget Detail FY 2013-20'!R289</f>
        <v>7073</v>
      </c>
      <c r="J17" s="73">
        <f>'Budget Detail FY 2013-20'!S289</f>
        <v>7073</v>
      </c>
      <c r="K17" s="73">
        <f>'Budget Detail FY 2013-20'!T289</f>
        <v>7073</v>
      </c>
      <c r="M17" s="555">
        <f t="shared" si="0"/>
        <v>60020</v>
      </c>
      <c r="N17" s="555">
        <f>SUM('Fund Cover Sheets'!C68:K68)</f>
        <v>60020</v>
      </c>
      <c r="O17" s="677">
        <f t="shared" si="1"/>
        <v>0</v>
      </c>
    </row>
    <row r="18" spans="1:15" ht="24" customHeight="1">
      <c r="A18" s="72"/>
      <c r="B18" s="69" t="s">
        <v>899</v>
      </c>
      <c r="C18" s="2">
        <f>'Budget Detail FY 2013-20'!L307</f>
        <v>7544</v>
      </c>
      <c r="D18" s="2">
        <f>'Budget Detail FY 2013-20'!M307</f>
        <v>7469</v>
      </c>
      <c r="E18" s="2">
        <f>'Budget Detail FY 2013-20'!N307</f>
        <v>17416</v>
      </c>
      <c r="F18" s="2">
        <f>'Budget Detail FY 2013-20'!O307</f>
        <v>17417</v>
      </c>
      <c r="G18" s="2">
        <f>'Budget Detail FY 2013-20'!P307</f>
        <v>18608</v>
      </c>
      <c r="H18" s="2">
        <f>'Budget Detail FY 2013-20'!Q307</f>
        <v>20392</v>
      </c>
      <c r="I18" s="2">
        <f>'Budget Detail FY 2013-20'!R307</f>
        <v>20392</v>
      </c>
      <c r="J18" s="2">
        <f>'Budget Detail FY 2013-20'!S307</f>
        <v>20392</v>
      </c>
      <c r="K18" s="2">
        <f>'Budget Detail FY 2013-20'!T307</f>
        <v>20392</v>
      </c>
      <c r="M18" s="555">
        <f t="shared" si="0"/>
        <v>150022</v>
      </c>
      <c r="N18" s="555">
        <f>SUM('Fund Cover Sheets'!C112:K112)</f>
        <v>150022</v>
      </c>
      <c r="O18" s="677">
        <f t="shared" si="1"/>
        <v>0</v>
      </c>
    </row>
    <row r="19" spans="1:15" ht="15" customHeight="1">
      <c r="A19" s="72"/>
      <c r="B19" s="69"/>
      <c r="C19" s="2"/>
      <c r="D19" s="2"/>
      <c r="E19" s="2"/>
      <c r="F19" s="2"/>
      <c r="G19" s="2"/>
      <c r="H19" s="2"/>
      <c r="I19" s="2"/>
      <c r="J19" s="2"/>
      <c r="K19" s="2"/>
      <c r="M19" s="555"/>
      <c r="N19" s="555"/>
      <c r="O19" s="180"/>
    </row>
    <row r="20" spans="1:15" ht="24" customHeight="1">
      <c r="A20" s="71" t="s">
        <v>900</v>
      </c>
      <c r="B20" s="64"/>
      <c r="C20" s="2">
        <f>'Budget Detail FY 2013-20'!L532</f>
        <v>429531</v>
      </c>
      <c r="D20" s="2">
        <f>'Budget Detail FY 2013-20'!M532</f>
        <v>322226</v>
      </c>
      <c r="E20" s="2">
        <f>'Budget Detail FY 2013-20'!N532</f>
        <v>332179</v>
      </c>
      <c r="F20" s="2">
        <f>'Budget Detail FY 2013-20'!O532</f>
        <v>2700380</v>
      </c>
      <c r="G20" s="2">
        <f>'Budget Detail FY 2013-20'!P532</f>
        <v>302130</v>
      </c>
      <c r="H20" s="2">
        <f>'Budget Detail FY 2013-20'!Q532</f>
        <v>320675</v>
      </c>
      <c r="I20" s="2">
        <f>'Budget Detail FY 2013-20'!R532</f>
        <v>320275</v>
      </c>
      <c r="J20" s="2">
        <f>'Budget Detail FY 2013-20'!S532</f>
        <v>324775</v>
      </c>
      <c r="K20" s="2">
        <f>'Budget Detail FY 2013-20'!T532</f>
        <v>324075</v>
      </c>
      <c r="M20" s="555">
        <f>SUM(C20:L20)</f>
        <v>5376246</v>
      </c>
      <c r="N20" s="555">
        <f>SUM('Fund Cover Sheets'!C391:K391)</f>
        <v>5376246</v>
      </c>
      <c r="O20" s="677">
        <f>M20-N20</f>
        <v>0</v>
      </c>
    </row>
    <row r="21" spans="1:15" ht="15" customHeight="1">
      <c r="A21" s="71"/>
      <c r="B21" s="64"/>
      <c r="C21" s="2"/>
      <c r="D21" s="2"/>
      <c r="E21" s="2"/>
      <c r="F21" s="2"/>
      <c r="G21" s="2"/>
      <c r="H21" s="2"/>
      <c r="I21" s="2"/>
      <c r="J21" s="2"/>
      <c r="K21" s="2"/>
      <c r="M21" s="555"/>
      <c r="N21" s="555"/>
      <c r="O21" s="180"/>
    </row>
    <row r="22" spans="1:15" ht="24" customHeight="1">
      <c r="A22" s="71" t="s">
        <v>901</v>
      </c>
      <c r="B22" s="64"/>
      <c r="C22" s="73"/>
      <c r="D22" s="73"/>
      <c r="E22" s="73"/>
      <c r="F22" s="73"/>
      <c r="G22" s="73"/>
      <c r="H22" s="73"/>
      <c r="I22" s="73"/>
      <c r="J22" s="73"/>
      <c r="K22" s="73"/>
      <c r="M22" s="555"/>
      <c r="N22" s="555"/>
      <c r="O22" s="180"/>
    </row>
    <row r="23" spans="1:15" ht="24" customHeight="1">
      <c r="A23" s="71"/>
      <c r="B23" s="69" t="s">
        <v>902</v>
      </c>
      <c r="C23" s="73">
        <f>'Budget Detail FY 2013-20'!L363</f>
        <v>12859</v>
      </c>
      <c r="D23" s="73">
        <f>'Budget Detail FY 2013-20'!M363</f>
        <v>575545</v>
      </c>
      <c r="E23" s="73">
        <f>'Budget Detail FY 2013-20'!N363</f>
        <v>0</v>
      </c>
      <c r="F23" s="73">
        <f>'Budget Detail FY 2013-20'!O363</f>
        <v>0</v>
      </c>
      <c r="G23" s="73">
        <f>'Budget Detail FY 2013-20'!P363</f>
        <v>0</v>
      </c>
      <c r="H23" s="73">
        <f>'Budget Detail FY 2013-20'!Q363</f>
        <v>0</v>
      </c>
      <c r="I23" s="73">
        <f>'Budget Detail FY 2013-20'!R363</f>
        <v>0</v>
      </c>
      <c r="J23" s="73">
        <f>'Budget Detail FY 2013-20'!S363</f>
        <v>0</v>
      </c>
      <c r="K23" s="73">
        <f>'Budget Detail FY 2013-20'!T363</f>
        <v>0</v>
      </c>
      <c r="M23" s="555">
        <f t="shared" ref="M23:M25" si="2">SUM(C23:L23)</f>
        <v>588404</v>
      </c>
      <c r="N23" s="555">
        <f>SUM('Fund Cover Sheets'!C202:K202)</f>
        <v>588404</v>
      </c>
      <c r="O23" s="677">
        <f t="shared" ref="O23:O25" si="3">M23-N23</f>
        <v>0</v>
      </c>
    </row>
    <row r="24" spans="1:15" ht="24" customHeight="1">
      <c r="A24" s="72"/>
      <c r="B24" s="69" t="s">
        <v>1038</v>
      </c>
      <c r="C24" s="2">
        <f>'Budget Detail FY 2013-20'!L473</f>
        <v>112156</v>
      </c>
      <c r="D24" s="2">
        <f>'Budget Detail FY 2013-20'!M473</f>
        <v>305427</v>
      </c>
      <c r="E24" s="2">
        <f>'Budget Detail FY 2013-20'!N473</f>
        <v>434553</v>
      </c>
      <c r="F24" s="2">
        <f>'Budget Detail FY 2013-20'!O473</f>
        <v>481460</v>
      </c>
      <c r="G24" s="2">
        <f>'Budget Detail FY 2013-20'!P473</f>
        <v>472338</v>
      </c>
      <c r="H24" s="2">
        <f>'Budget Detail FY 2013-20'!Q473</f>
        <v>258507</v>
      </c>
      <c r="I24" s="2">
        <f>'Budget Detail FY 2013-20'!R473</f>
        <v>258507</v>
      </c>
      <c r="J24" s="2">
        <f>'Budget Detail FY 2013-20'!S473</f>
        <v>258507</v>
      </c>
      <c r="K24" s="2">
        <f>'Budget Detail FY 2013-20'!T473</f>
        <v>258507</v>
      </c>
      <c r="M24" s="555">
        <f t="shared" si="2"/>
        <v>2839962</v>
      </c>
      <c r="N24" s="555">
        <f>SUM('Fund Cover Sheets'!C312:K312)</f>
        <v>2839962</v>
      </c>
      <c r="O24" s="677">
        <f t="shared" si="3"/>
        <v>0</v>
      </c>
    </row>
    <row r="25" spans="1:15" ht="24" customHeight="1">
      <c r="A25" s="72"/>
      <c r="B25" s="69" t="s">
        <v>904</v>
      </c>
      <c r="C25" s="73">
        <f>'Budget Detail FY 2013-20'!L398</f>
        <v>633742</v>
      </c>
      <c r="D25" s="73">
        <f>'Budget Detail FY 2013-20'!M398</f>
        <v>1552624</v>
      </c>
      <c r="E25" s="73">
        <f>'Budget Detail FY 2013-20'!N398</f>
        <v>6549840</v>
      </c>
      <c r="F25" s="73">
        <f>'Budget Detail FY 2013-20'!O398</f>
        <v>6821507</v>
      </c>
      <c r="G25" s="73">
        <f>'Budget Detail FY 2013-20'!P398</f>
        <v>1757322</v>
      </c>
      <c r="H25" s="73">
        <f>'Budget Detail FY 2013-20'!Q398</f>
        <v>1170900</v>
      </c>
      <c r="I25" s="73">
        <f>'Budget Detail FY 2013-20'!R398</f>
        <v>807500</v>
      </c>
      <c r="J25" s="73">
        <f>'Budget Detail FY 2013-20'!S398</f>
        <v>762000</v>
      </c>
      <c r="K25" s="73">
        <f>'Budget Detail FY 2013-20'!T398</f>
        <v>762000</v>
      </c>
      <c r="M25" s="555">
        <f t="shared" si="2"/>
        <v>20817435</v>
      </c>
      <c r="N25" s="555">
        <f>SUM('Fund Cover Sheets'!C249:K249)</f>
        <v>20817435</v>
      </c>
      <c r="O25" s="677">
        <f t="shared" si="3"/>
        <v>0</v>
      </c>
    </row>
    <row r="26" spans="1:15" ht="15" customHeight="1">
      <c r="A26" s="72"/>
      <c r="B26" s="69"/>
      <c r="C26" s="73"/>
      <c r="D26" s="73"/>
      <c r="E26" s="73"/>
      <c r="F26" s="73"/>
      <c r="G26" s="73"/>
      <c r="H26" s="73"/>
      <c r="I26" s="73"/>
      <c r="J26" s="73"/>
      <c r="K26" s="73"/>
      <c r="M26" s="555"/>
      <c r="N26" s="555"/>
      <c r="O26" s="180"/>
    </row>
    <row r="27" spans="1:15" ht="24" customHeight="1">
      <c r="A27" s="71" t="s">
        <v>905</v>
      </c>
      <c r="B27" s="69"/>
      <c r="C27" s="2"/>
      <c r="D27" s="2"/>
      <c r="E27" s="2"/>
      <c r="F27" s="2"/>
      <c r="G27" s="2"/>
      <c r="H27" s="2"/>
      <c r="I27" s="2"/>
      <c r="J27" s="2"/>
      <c r="K27" s="2"/>
      <c r="M27" s="555"/>
      <c r="N27" s="555"/>
      <c r="O27" s="180"/>
    </row>
    <row r="28" spans="1:15" ht="24" customHeight="1">
      <c r="B28" s="69" t="s">
        <v>679</v>
      </c>
      <c r="C28" s="2">
        <f>'Budget Detail FY 2013-20'!L576</f>
        <v>3104339</v>
      </c>
      <c r="D28" s="2">
        <f>'Budget Detail FY 2013-20'!M576</f>
        <v>2587877</v>
      </c>
      <c r="E28" s="2">
        <f>'Budget Detail FY 2013-20'!N576</f>
        <v>2839226</v>
      </c>
      <c r="F28" s="2">
        <f>'Budget Detail FY 2013-20'!O576</f>
        <v>2590912</v>
      </c>
      <c r="G28" s="2">
        <f>'Budget Detail FY 2013-20'!P576</f>
        <v>7673519</v>
      </c>
      <c r="H28" s="2">
        <f>'Budget Detail FY 2013-20'!Q576</f>
        <v>3786215</v>
      </c>
      <c r="I28" s="2">
        <f>'Budget Detail FY 2013-20'!R576</f>
        <v>3786164</v>
      </c>
      <c r="J28" s="2">
        <f>'Budget Detail FY 2013-20'!S576</f>
        <v>3791136</v>
      </c>
      <c r="K28" s="2">
        <f>'Budget Detail FY 2013-20'!T576</f>
        <v>3921516</v>
      </c>
      <c r="M28" s="555">
        <f t="shared" ref="M28:M30" si="4">SUM(C28:L28)</f>
        <v>34080904</v>
      </c>
      <c r="N28" s="555">
        <f>SUM('Fund Cover Sheets'!C440:K440)</f>
        <v>34080904</v>
      </c>
      <c r="O28" s="677">
        <f t="shared" ref="O28:O30" si="5">M28-N28</f>
        <v>0</v>
      </c>
    </row>
    <row r="29" spans="1:15" ht="24" customHeight="1">
      <c r="B29" s="69" t="s">
        <v>680</v>
      </c>
      <c r="C29" s="2">
        <f>'Budget Detail FY 2013-20'!L681</f>
        <v>1649995</v>
      </c>
      <c r="D29" s="2">
        <f>'Budget Detail FY 2013-20'!M681</f>
        <v>2389613</v>
      </c>
      <c r="E29" s="2">
        <f>'Budget Detail FY 2013-20'!N681</f>
        <v>2385472</v>
      </c>
      <c r="F29" s="2">
        <f>'Budget Detail FY 2013-20'!O681</f>
        <v>2393576</v>
      </c>
      <c r="G29" s="2">
        <f>'Budget Detail FY 2013-20'!P681</f>
        <v>2516354</v>
      </c>
      <c r="H29" s="2">
        <f>'Budget Detail FY 2013-20'!Q681</f>
        <v>2539692</v>
      </c>
      <c r="I29" s="2">
        <f>'Budget Detail FY 2013-20'!R681</f>
        <v>2567586</v>
      </c>
      <c r="J29" s="2">
        <f>'Budget Detail FY 2013-20'!S681</f>
        <v>2589822</v>
      </c>
      <c r="K29" s="2">
        <f>'Budget Detail FY 2013-20'!T681</f>
        <v>2616450</v>
      </c>
      <c r="M29" s="555">
        <f t="shared" si="4"/>
        <v>21648560</v>
      </c>
      <c r="N29" s="555">
        <f>SUM('Fund Cover Sheets'!C494:K494)</f>
        <v>21648560</v>
      </c>
      <c r="O29" s="677">
        <f t="shared" si="5"/>
        <v>0</v>
      </c>
    </row>
    <row r="30" spans="1:15" ht="24" customHeight="1">
      <c r="B30" s="69" t="s">
        <v>611</v>
      </c>
      <c r="C30" s="2">
        <f>'Budget Detail FY 2013-20'!L892</f>
        <v>511086</v>
      </c>
      <c r="D30" s="2">
        <f>'Budget Detail FY 2013-20'!M892</f>
        <v>534506</v>
      </c>
      <c r="E30" s="2">
        <f>'Budget Detail FY 2013-20'!N892</f>
        <v>0</v>
      </c>
      <c r="F30" s="2">
        <f>'Budget Detail FY 2013-20'!O892</f>
        <v>0</v>
      </c>
      <c r="G30" s="2">
        <f>'Budget Detail FY 2013-20'!P892</f>
        <v>0</v>
      </c>
      <c r="H30" s="2">
        <f>'Budget Detail FY 2013-20'!Q892</f>
        <v>0</v>
      </c>
      <c r="I30" s="2">
        <f>'Budget Detail FY 2013-20'!R892</f>
        <v>0</v>
      </c>
      <c r="J30" s="2">
        <f>'Budget Detail FY 2013-20'!S892</f>
        <v>0</v>
      </c>
      <c r="K30" s="2">
        <f>'Budget Detail FY 2013-20'!T892</f>
        <v>0</v>
      </c>
      <c r="M30" s="555">
        <f t="shared" si="4"/>
        <v>1045592</v>
      </c>
      <c r="N30" s="555">
        <f>SUM('Fund Cover Sheets'!C651:K651)</f>
        <v>1045592</v>
      </c>
      <c r="O30" s="677">
        <f t="shared" si="5"/>
        <v>0</v>
      </c>
    </row>
    <row r="31" spans="1:15" ht="15" customHeight="1">
      <c r="B31" s="69"/>
      <c r="C31" s="2"/>
      <c r="D31" s="2"/>
      <c r="E31" s="2"/>
      <c r="F31" s="2"/>
      <c r="G31" s="2"/>
      <c r="H31" s="2"/>
      <c r="I31" s="2"/>
      <c r="J31" s="2"/>
      <c r="K31" s="2"/>
      <c r="M31" s="555"/>
      <c r="N31" s="555"/>
      <c r="O31" s="180"/>
    </row>
    <row r="32" spans="1:15" ht="24" customHeight="1">
      <c r="A32" s="71" t="s">
        <v>906</v>
      </c>
      <c r="B32" s="69"/>
      <c r="C32" s="2"/>
      <c r="D32" s="2"/>
      <c r="E32" s="2"/>
      <c r="F32" s="2"/>
      <c r="G32" s="2"/>
      <c r="H32" s="2"/>
      <c r="I32" s="2"/>
      <c r="J32" s="2"/>
      <c r="K32" s="2"/>
      <c r="M32" s="555"/>
      <c r="N32" s="555"/>
      <c r="O32" s="180"/>
    </row>
    <row r="33" spans="1:15" ht="24" customHeight="1">
      <c r="A33" s="71"/>
      <c r="B33" s="69" t="s">
        <v>670</v>
      </c>
      <c r="C33" s="2">
        <f>'Budget Detail FY 2013-20'!L943</f>
        <v>789584</v>
      </c>
      <c r="D33" s="2">
        <f>'Budget Detail FY 2013-20'!M943</f>
        <v>741392</v>
      </c>
      <c r="E33" s="2">
        <f>'Budget Detail FY 2013-20'!N943</f>
        <v>732685</v>
      </c>
      <c r="F33" s="2">
        <f>'Budget Detail FY 2013-20'!O943</f>
        <v>714776</v>
      </c>
      <c r="G33" s="2">
        <f>'Budget Detail FY 2013-20'!P943</f>
        <v>721418</v>
      </c>
      <c r="H33" s="2">
        <f>'Budget Detail FY 2013-20'!Q943</f>
        <v>721718</v>
      </c>
      <c r="I33" s="2">
        <f>'Budget Detail FY 2013-20'!R943</f>
        <v>728732</v>
      </c>
      <c r="J33" s="2">
        <f>'Budget Detail FY 2013-20'!S943</f>
        <v>730867</v>
      </c>
      <c r="K33" s="2">
        <f>'Budget Detail FY 2013-20'!T943</f>
        <v>738130</v>
      </c>
      <c r="M33" s="555">
        <f t="shared" ref="M33:M35" si="6">SUM(C33:L33)</f>
        <v>6619302</v>
      </c>
      <c r="N33" s="555">
        <f>SUM('Fund Cover Sheets'!C706:K706)</f>
        <v>6619302</v>
      </c>
      <c r="O33" s="677">
        <f t="shared" ref="O33:O37" si="7">M33-N33</f>
        <v>0</v>
      </c>
    </row>
    <row r="34" spans="1:15" ht="24" customHeight="1">
      <c r="A34" s="71"/>
      <c r="B34" s="69" t="s">
        <v>586</v>
      </c>
      <c r="C34" s="2">
        <f>'Budget Detail FY 2013-20'!L996</f>
        <v>797309</v>
      </c>
      <c r="D34" s="2">
        <f>'Budget Detail FY 2013-20'!M996</f>
        <v>767720</v>
      </c>
      <c r="E34" s="2">
        <f>'Budget Detail FY 2013-20'!N996</f>
        <v>731351</v>
      </c>
      <c r="F34" s="2">
        <f>'Budget Detail FY 2013-20'!O996</f>
        <v>731321</v>
      </c>
      <c r="G34" s="2">
        <f>'Budget Detail FY 2013-20'!P996</f>
        <v>749876</v>
      </c>
      <c r="H34" s="2">
        <f>'Budget Detail FY 2013-20'!Q996</f>
        <v>752771</v>
      </c>
      <c r="I34" s="2">
        <f>'Budget Detail FY 2013-20'!R996</f>
        <v>760396</v>
      </c>
      <c r="J34" s="2">
        <f>'Budget Detail FY 2013-20'!S996</f>
        <v>792101</v>
      </c>
      <c r="K34" s="2">
        <f>'Budget Detail FY 2013-20'!T996</f>
        <v>797013</v>
      </c>
      <c r="M34" s="555">
        <f t="shared" si="6"/>
        <v>6879858</v>
      </c>
      <c r="N34" s="555">
        <f>SUM('Fund Cover Sheets'!C757:K757)</f>
        <v>6879858</v>
      </c>
      <c r="O34" s="677">
        <f t="shared" si="7"/>
        <v>0</v>
      </c>
    </row>
    <row r="35" spans="1:15" ht="24" customHeight="1">
      <c r="A35" s="71"/>
      <c r="B35" s="69" t="s">
        <v>907</v>
      </c>
      <c r="C35" s="2">
        <f>'Budget Detail FY 2013-20'!L1019</f>
        <v>35208</v>
      </c>
      <c r="D35" s="2">
        <f>'Budget Detail FY 2013-20'!M1019</f>
        <v>53666</v>
      </c>
      <c r="E35" s="2">
        <f>'Budget Detail FY 2013-20'!N1019</f>
        <v>20020</v>
      </c>
      <c r="F35" s="2">
        <f>'Budget Detail FY 2013-20'!O1019</f>
        <v>20010</v>
      </c>
      <c r="G35" s="2">
        <f>'Budget Detail FY 2013-20'!P1019</f>
        <v>20020</v>
      </c>
      <c r="H35" s="2">
        <f>'Budget Detail FY 2013-20'!Q1019</f>
        <v>20010</v>
      </c>
      <c r="I35" s="2">
        <f>'Budget Detail FY 2013-20'!R1019</f>
        <v>20010</v>
      </c>
      <c r="J35" s="2">
        <f>'Budget Detail FY 2013-20'!S1019</f>
        <v>20010</v>
      </c>
      <c r="K35" s="2">
        <f>'Budget Detail FY 2013-20'!T1019</f>
        <v>20010</v>
      </c>
      <c r="M35" s="555">
        <f t="shared" si="6"/>
        <v>228964</v>
      </c>
      <c r="N35" s="555">
        <f>SUM('Fund Cover Sheets'!C802:K802)</f>
        <v>228964</v>
      </c>
      <c r="O35" s="677">
        <f t="shared" si="7"/>
        <v>0</v>
      </c>
    </row>
    <row r="36" spans="1:15" ht="15" customHeight="1">
      <c r="A36" s="74"/>
      <c r="B36" s="69"/>
      <c r="C36" s="73"/>
      <c r="D36" s="73"/>
      <c r="E36" s="73"/>
      <c r="F36" s="73"/>
      <c r="G36" s="73"/>
      <c r="H36" s="73"/>
      <c r="I36" s="73"/>
      <c r="J36" s="73"/>
      <c r="K36" s="73"/>
      <c r="M36" s="555"/>
      <c r="N36" s="555"/>
      <c r="O36" s="180"/>
    </row>
    <row r="37" spans="1:15" ht="24" customHeight="1" thickBot="1">
      <c r="A37" s="7"/>
      <c r="B37" s="75" t="s">
        <v>965</v>
      </c>
      <c r="C37" s="76">
        <f t="shared" ref="C37:K37" si="8">SUM(C9:C36)</f>
        <v>23875669</v>
      </c>
      <c r="D37" s="76">
        <f t="shared" si="8"/>
        <v>27838369</v>
      </c>
      <c r="E37" s="76">
        <f t="shared" si="8"/>
        <v>30204834</v>
      </c>
      <c r="F37" s="76">
        <f t="shared" si="8"/>
        <v>33360161</v>
      </c>
      <c r="G37" s="76">
        <f t="shared" si="8"/>
        <v>31102076</v>
      </c>
      <c r="H37" s="76">
        <f t="shared" si="8"/>
        <v>26822314</v>
      </c>
      <c r="I37" s="76">
        <f t="shared" si="8"/>
        <v>26321558</v>
      </c>
      <c r="J37" s="76">
        <f t="shared" si="8"/>
        <v>26574641</v>
      </c>
      <c r="K37" s="76">
        <f t="shared" si="8"/>
        <v>26929613</v>
      </c>
      <c r="M37" s="555">
        <f>SUM(M9:M35)</f>
        <v>253029235</v>
      </c>
      <c r="N37" s="555">
        <f>SUM(N9:N35)</f>
        <v>253029235</v>
      </c>
      <c r="O37" s="677">
        <f t="shared" si="7"/>
        <v>0</v>
      </c>
    </row>
    <row r="38" spans="1:15" ht="15" customHeight="1" thickTop="1">
      <c r="M38" s="2"/>
      <c r="N38" s="2"/>
    </row>
    <row r="39" spans="1:15" s="64" customFormat="1" ht="15" customHeight="1">
      <c r="M39" s="3"/>
      <c r="N39" s="3"/>
    </row>
    <row r="40" spans="1:15" ht="24" customHeight="1">
      <c r="B40" s="728" t="s">
        <v>892</v>
      </c>
      <c r="C40" s="728"/>
      <c r="D40" s="728"/>
      <c r="E40" s="728"/>
      <c r="F40" s="728"/>
      <c r="G40" s="728"/>
      <c r="H40" s="728"/>
      <c r="I40" s="728"/>
      <c r="J40" s="728"/>
      <c r="K40" s="728"/>
      <c r="M40" s="2"/>
      <c r="N40" s="2"/>
    </row>
    <row r="41" spans="1:15" ht="24" customHeight="1">
      <c r="B41" s="729" t="s">
        <v>908</v>
      </c>
      <c r="C41" s="729"/>
      <c r="D41" s="729"/>
      <c r="E41" s="729"/>
      <c r="F41" s="729"/>
      <c r="G41" s="729"/>
      <c r="H41" s="729"/>
      <c r="I41" s="729"/>
      <c r="J41" s="729"/>
      <c r="K41" s="729"/>
      <c r="M41" s="2"/>
      <c r="N41" s="2"/>
    </row>
    <row r="42" spans="1:15" ht="24" customHeight="1">
      <c r="B42" s="728" t="s">
        <v>1339</v>
      </c>
      <c r="C42" s="728"/>
      <c r="D42" s="728"/>
      <c r="E42" s="728"/>
      <c r="F42" s="728"/>
      <c r="G42" s="728"/>
      <c r="H42" s="728"/>
      <c r="I42" s="728"/>
      <c r="J42" s="728"/>
      <c r="K42" s="728"/>
      <c r="M42" s="2"/>
      <c r="N42" s="2"/>
    </row>
    <row r="43" spans="1:15" ht="15" customHeight="1">
      <c r="M43" s="2"/>
      <c r="N43" s="2"/>
    </row>
    <row r="44" spans="1:15" ht="15" customHeight="1">
      <c r="C44" s="65"/>
      <c r="D44" s="65"/>
      <c r="E44" s="66" t="s">
        <v>270</v>
      </c>
      <c r="F44" s="65"/>
      <c r="M44" s="2"/>
      <c r="N44" s="2"/>
    </row>
    <row r="45" spans="1:15" ht="15" customHeight="1">
      <c r="C45" s="65" t="s">
        <v>257</v>
      </c>
      <c r="D45" s="65" t="s">
        <v>258</v>
      </c>
      <c r="E45" s="49" t="s">
        <v>832</v>
      </c>
      <c r="F45" s="66" t="s">
        <v>270</v>
      </c>
      <c r="G45" s="66" t="s">
        <v>271</v>
      </c>
      <c r="H45" s="66" t="s">
        <v>272</v>
      </c>
      <c r="I45" s="66" t="s">
        <v>996</v>
      </c>
      <c r="J45" s="66" t="s">
        <v>1101</v>
      </c>
      <c r="K45" s="66" t="s">
        <v>1136</v>
      </c>
      <c r="M45" s="2"/>
      <c r="N45" s="2"/>
    </row>
    <row r="46" spans="1:15" ht="15" customHeight="1" thickBot="1">
      <c r="B46" s="67" t="s">
        <v>894</v>
      </c>
      <c r="C46" s="68" t="s">
        <v>1</v>
      </c>
      <c r="D46" s="68" t="s">
        <v>1</v>
      </c>
      <c r="E46" s="68" t="s">
        <v>787</v>
      </c>
      <c r="F46" s="68" t="s">
        <v>19</v>
      </c>
      <c r="G46" s="68" t="s">
        <v>832</v>
      </c>
      <c r="H46" s="68" t="s">
        <v>19</v>
      </c>
      <c r="I46" s="68" t="s">
        <v>19</v>
      </c>
      <c r="J46" s="68" t="s">
        <v>19</v>
      </c>
      <c r="K46" s="68" t="s">
        <v>19</v>
      </c>
      <c r="M46" s="2"/>
      <c r="N46" s="2"/>
    </row>
    <row r="47" spans="1:15" ht="15" customHeight="1">
      <c r="C47" s="70"/>
      <c r="D47" s="70"/>
      <c r="E47" s="70"/>
      <c r="F47" s="70"/>
      <c r="G47" s="70"/>
      <c r="H47" s="70"/>
      <c r="I47" s="70"/>
      <c r="J47" s="70"/>
      <c r="M47" s="554" t="s">
        <v>1145</v>
      </c>
      <c r="N47" s="554" t="s">
        <v>1144</v>
      </c>
      <c r="O47" s="353" t="s">
        <v>1138</v>
      </c>
    </row>
    <row r="48" spans="1:15" ht="24" customHeight="1">
      <c r="A48" s="71" t="s">
        <v>895</v>
      </c>
      <c r="C48" s="2">
        <f>'Budget Detail FY 2013-20'!L276</f>
        <v>10361617</v>
      </c>
      <c r="D48" s="2">
        <f>'Budget Detail FY 2013-20'!M276</f>
        <v>13808392</v>
      </c>
      <c r="E48" s="2">
        <f>'Budget Detail FY 2013-20'!N276</f>
        <v>13570112</v>
      </c>
      <c r="F48" s="2">
        <f>'Budget Detail FY 2013-20'!O276</f>
        <v>13677043</v>
      </c>
      <c r="G48" s="2">
        <f>'Budget Detail FY 2013-20'!P276</f>
        <v>14190635</v>
      </c>
      <c r="H48" s="2">
        <f>'Budget Detail FY 2013-20'!Q276</f>
        <v>14832629</v>
      </c>
      <c r="I48" s="2">
        <f>'Budget Detail FY 2013-20'!R276</f>
        <v>15374024</v>
      </c>
      <c r="J48" s="2">
        <f>'Budget Detail FY 2013-20'!S276</f>
        <v>15887773</v>
      </c>
      <c r="K48" s="2">
        <f>'Budget Detail FY 2013-20'!T276</f>
        <v>16408034</v>
      </c>
      <c r="M48" s="555">
        <f>SUM(C48:K48)</f>
        <v>128110259</v>
      </c>
      <c r="N48" s="555">
        <f>SUM('Fund Cover Sheets'!C31:K31)</f>
        <v>128110259</v>
      </c>
      <c r="O48" s="677">
        <f>M48-N48</f>
        <v>0</v>
      </c>
    </row>
    <row r="49" spans="1:15" ht="15" customHeight="1">
      <c r="A49" s="71"/>
      <c r="C49" s="2"/>
      <c r="D49" s="2"/>
      <c r="E49" s="2"/>
      <c r="F49" s="2"/>
      <c r="G49" s="2"/>
      <c r="H49" s="2"/>
      <c r="I49" s="2"/>
      <c r="J49" s="2"/>
      <c r="K49" s="2"/>
      <c r="M49" s="555"/>
      <c r="N49" s="555"/>
      <c r="O49" s="180"/>
    </row>
    <row r="50" spans="1:15" ht="24" customHeight="1">
      <c r="A50" s="71" t="s">
        <v>896</v>
      </c>
      <c r="C50" s="73"/>
      <c r="D50" s="73"/>
      <c r="E50" s="73"/>
      <c r="F50" s="73"/>
      <c r="G50" s="73"/>
      <c r="H50" s="73"/>
      <c r="I50" s="73"/>
      <c r="J50" s="73"/>
      <c r="K50" s="73"/>
      <c r="M50" s="555"/>
      <c r="N50" s="555"/>
      <c r="O50" s="180"/>
    </row>
    <row r="51" spans="1:15" ht="24" customHeight="1">
      <c r="A51" s="71"/>
      <c r="B51" s="1" t="s">
        <v>815</v>
      </c>
      <c r="C51" s="73">
        <f>'Budget Detail FY 2013-20'!L351</f>
        <v>281196</v>
      </c>
      <c r="D51" s="73">
        <f>'Budget Detail FY 2013-20'!M351</f>
        <v>947751</v>
      </c>
      <c r="E51" s="73">
        <f>'Budget Detail FY 2013-20'!N351</f>
        <v>863499</v>
      </c>
      <c r="F51" s="73">
        <f>'Budget Detail FY 2013-20'!O351</f>
        <v>1001014</v>
      </c>
      <c r="G51" s="73">
        <f>'Budget Detail FY 2013-20'!P351</f>
        <v>871497</v>
      </c>
      <c r="H51" s="73">
        <f>'Budget Detail FY 2013-20'!Q351</f>
        <v>700580</v>
      </c>
      <c r="I51" s="73">
        <f>'Budget Detail FY 2013-20'!R351</f>
        <v>607558</v>
      </c>
      <c r="J51" s="73">
        <f>'Budget Detail FY 2013-20'!S351</f>
        <v>607454</v>
      </c>
      <c r="K51" s="73">
        <f>'Budget Detail FY 2013-20'!T351</f>
        <v>490064</v>
      </c>
      <c r="M51" s="555">
        <f t="shared" ref="M51:M57" si="9">SUM(C51:K51)</f>
        <v>6370613</v>
      </c>
      <c r="N51" s="555">
        <f>SUM('Fund Cover Sheets'!C165:K165)</f>
        <v>6370613</v>
      </c>
      <c r="O51" s="677">
        <f t="shared" ref="O51:O57" si="10">M51-N51</f>
        <v>0</v>
      </c>
    </row>
    <row r="52" spans="1:15" ht="24" customHeight="1">
      <c r="A52" s="72"/>
      <c r="B52" s="69" t="s">
        <v>897</v>
      </c>
      <c r="C52" s="73">
        <f>'Budget Detail FY 2013-20'!L870</f>
        <v>1398256</v>
      </c>
      <c r="D52" s="73">
        <f>'Budget Detail FY 2013-20'!M870</f>
        <v>2063804</v>
      </c>
      <c r="E52" s="73">
        <f>'Budget Detail FY 2013-20'!N870</f>
        <v>1911447</v>
      </c>
      <c r="F52" s="73">
        <f>'Budget Detail FY 2013-20'!O870</f>
        <v>1848641</v>
      </c>
      <c r="G52" s="73">
        <f>'Budget Detail FY 2013-20'!P870</f>
        <v>1795940</v>
      </c>
      <c r="H52" s="73">
        <f>'Budget Detail FY 2013-20'!Q870</f>
        <v>1850848</v>
      </c>
      <c r="I52" s="73">
        <f>'Budget Detail FY 2013-20'!R870</f>
        <v>1912017</v>
      </c>
      <c r="J52" s="73">
        <f>'Budget Detail FY 2013-20'!S870</f>
        <v>1976890</v>
      </c>
      <c r="K52" s="73">
        <f>'Budget Detail FY 2013-20'!T870</f>
        <v>2045711</v>
      </c>
      <c r="M52" s="555">
        <f t="shared" si="9"/>
        <v>16803554</v>
      </c>
      <c r="N52" s="555">
        <f>SUM('Fund Cover Sheets'!C610:K610)</f>
        <v>16803554</v>
      </c>
      <c r="O52" s="677">
        <f t="shared" si="10"/>
        <v>0</v>
      </c>
    </row>
    <row r="53" spans="1:15" ht="24" customHeight="1">
      <c r="A53" s="72"/>
      <c r="B53" s="69" t="s">
        <v>681</v>
      </c>
      <c r="C53" s="73">
        <f>'Budget Detail FY 2013-20'!L781</f>
        <v>52570</v>
      </c>
      <c r="D53" s="73">
        <f>'Budget Detail FY 2013-20'!M781</f>
        <v>71037</v>
      </c>
      <c r="E53" s="73">
        <f>'Budget Detail FY 2013-20'!N781</f>
        <v>406850</v>
      </c>
      <c r="F53" s="73">
        <f>'Budget Detail FY 2013-20'!O781</f>
        <v>384679</v>
      </c>
      <c r="G53" s="73">
        <f>'Budget Detail FY 2013-20'!P781</f>
        <v>580832</v>
      </c>
      <c r="H53" s="73">
        <f>'Budget Detail FY 2013-20'!Q781</f>
        <v>100000</v>
      </c>
      <c r="I53" s="73">
        <f>'Budget Detail FY 2013-20'!R781</f>
        <v>0</v>
      </c>
      <c r="J53" s="73">
        <f>'Budget Detail FY 2013-20'!S781</f>
        <v>0</v>
      </c>
      <c r="K53" s="73">
        <f>'Budget Detail FY 2013-20'!T781</f>
        <v>0</v>
      </c>
      <c r="M53" s="555">
        <f t="shared" si="9"/>
        <v>1595968</v>
      </c>
      <c r="N53" s="555">
        <f>SUM('Fund Cover Sheets'!C558:K558)</f>
        <v>1595968</v>
      </c>
      <c r="O53" s="677">
        <f t="shared" si="10"/>
        <v>0</v>
      </c>
    </row>
    <row r="54" spans="1:15" ht="24" customHeight="1">
      <c r="A54" s="72"/>
      <c r="B54" s="69" t="s">
        <v>588</v>
      </c>
      <c r="C54" s="3">
        <f>'Budget Detail FY 2013-20'!L1059</f>
        <v>307670</v>
      </c>
      <c r="D54" s="3">
        <f>'Budget Detail FY 2013-20'!M1059</f>
        <v>3343572</v>
      </c>
      <c r="E54" s="3">
        <f>'Budget Detail FY 2013-20'!N1059</f>
        <v>91398</v>
      </c>
      <c r="F54" s="3">
        <f>'Budget Detail FY 2013-20'!O1059</f>
        <v>73596</v>
      </c>
      <c r="G54" s="3">
        <f>'Budget Detail FY 2013-20'!P1059</f>
        <v>96571</v>
      </c>
      <c r="H54" s="3">
        <f>'Budget Detail FY 2013-20'!Q1059</f>
        <v>121928</v>
      </c>
      <c r="I54" s="3">
        <f>'Budget Detail FY 2013-20'!R1059</f>
        <v>121928</v>
      </c>
      <c r="J54" s="3">
        <f>'Budget Detail FY 2013-20'!S1059</f>
        <v>121928</v>
      </c>
      <c r="K54" s="3">
        <f>'Budget Detail FY 2013-20'!T1059</f>
        <v>356928</v>
      </c>
      <c r="M54" s="555">
        <f t="shared" si="9"/>
        <v>4635519</v>
      </c>
      <c r="N54" s="555">
        <f>SUM('Fund Cover Sheets'!C858:K858)</f>
        <v>4635519</v>
      </c>
      <c r="O54" s="677">
        <f t="shared" si="10"/>
        <v>0</v>
      </c>
    </row>
    <row r="55" spans="1:15" ht="24" customHeight="1">
      <c r="A55" s="72"/>
      <c r="B55" s="69" t="s">
        <v>593</v>
      </c>
      <c r="C55" s="3">
        <f>'Budget Detail FY 2013-20'!L1084</f>
        <v>86425</v>
      </c>
      <c r="D55" s="3">
        <f>'Budget Detail FY 2013-20'!M1084</f>
        <v>56411</v>
      </c>
      <c r="E55" s="3">
        <f>'Budget Detail FY 2013-20'!N1084</f>
        <v>52788</v>
      </c>
      <c r="F55" s="3">
        <f>'Budget Detail FY 2013-20'!O1084</f>
        <v>58675</v>
      </c>
      <c r="G55" s="3">
        <f>'Budget Detail FY 2013-20'!P1084</f>
        <v>356030</v>
      </c>
      <c r="H55" s="3">
        <f>'Budget Detail FY 2013-20'!Q1084</f>
        <v>45285</v>
      </c>
      <c r="I55" s="3">
        <f>'Budget Detail FY 2013-20'!R1084</f>
        <v>45395</v>
      </c>
      <c r="J55" s="3">
        <f>'Budget Detail FY 2013-20'!S1084</f>
        <v>45395</v>
      </c>
      <c r="K55" s="3">
        <f>'Budget Detail FY 2013-20'!T1084</f>
        <v>45495</v>
      </c>
      <c r="M55" s="555">
        <f t="shared" si="9"/>
        <v>791899</v>
      </c>
      <c r="N55" s="555">
        <f>SUM('Fund Cover Sheets'!C905:K905)</f>
        <v>791899</v>
      </c>
      <c r="O55" s="677">
        <f t="shared" si="10"/>
        <v>0</v>
      </c>
    </row>
    <row r="56" spans="1:15" ht="24" customHeight="1">
      <c r="A56" s="72"/>
      <c r="B56" s="69" t="s">
        <v>898</v>
      </c>
      <c r="C56" s="73">
        <f>'Budget Detail FY 2013-20'!L295</f>
        <v>5743</v>
      </c>
      <c r="D56" s="73">
        <f>'Budget Detail FY 2013-20'!M295</f>
        <v>7776</v>
      </c>
      <c r="E56" s="73">
        <f>'Budget Detail FY 2013-20'!N295</f>
        <v>19603</v>
      </c>
      <c r="F56" s="73">
        <f>'Budget Detail FY 2013-20'!O295</f>
        <v>4603</v>
      </c>
      <c r="G56" s="73">
        <f>'Budget Detail FY 2013-20'!P295</f>
        <v>29833</v>
      </c>
      <c r="H56" s="73">
        <f>'Budget Detail FY 2013-20'!Q295</f>
        <v>5075</v>
      </c>
      <c r="I56" s="73">
        <f>'Budget Detail FY 2013-20'!R295</f>
        <v>5329</v>
      </c>
      <c r="J56" s="73">
        <f>'Budget Detail FY 2013-20'!S295</f>
        <v>5595</v>
      </c>
      <c r="K56" s="73">
        <f>'Budget Detail FY 2013-20'!T295</f>
        <v>5875</v>
      </c>
      <c r="M56" s="555">
        <f t="shared" si="9"/>
        <v>89432</v>
      </c>
      <c r="N56" s="555">
        <f>SUM('Fund Cover Sheets'!C74:K74)</f>
        <v>89432</v>
      </c>
      <c r="O56" s="677">
        <f t="shared" si="10"/>
        <v>0</v>
      </c>
    </row>
    <row r="57" spans="1:15" ht="24" customHeight="1">
      <c r="A57" s="72"/>
      <c r="B57" s="69" t="s">
        <v>899</v>
      </c>
      <c r="C57" s="73">
        <f>'Budget Detail FY 2013-20'!L312</f>
        <v>11992</v>
      </c>
      <c r="D57" s="73">
        <f>'Budget Detail FY 2013-20'!M312</f>
        <v>12635</v>
      </c>
      <c r="E57" s="73">
        <f>'Budget Detail FY 2013-20'!N312</f>
        <v>35985</v>
      </c>
      <c r="F57" s="73">
        <f>'Budget Detail FY 2013-20'!O312</f>
        <v>50985</v>
      </c>
      <c r="G57" s="73">
        <f>'Budget Detail FY 2013-20'!P312</f>
        <v>37594</v>
      </c>
      <c r="H57" s="73">
        <f>'Budget Detail FY 2013-20'!Q312</f>
        <v>12111</v>
      </c>
      <c r="I57" s="73">
        <f>'Budget Detail FY 2013-20'!R312</f>
        <v>12717</v>
      </c>
      <c r="J57" s="73">
        <f>'Budget Detail FY 2013-20'!S312</f>
        <v>13353</v>
      </c>
      <c r="K57" s="73">
        <f>'Budget Detail FY 2013-20'!T312</f>
        <v>14021</v>
      </c>
      <c r="M57" s="555">
        <f t="shared" si="9"/>
        <v>201393</v>
      </c>
      <c r="N57" s="555">
        <f>SUM('Fund Cover Sheets'!C118:K118)</f>
        <v>201393</v>
      </c>
      <c r="O57" s="677">
        <f t="shared" si="10"/>
        <v>0</v>
      </c>
    </row>
    <row r="58" spans="1:15">
      <c r="A58" s="72"/>
      <c r="B58" s="69"/>
      <c r="C58" s="73"/>
      <c r="D58" s="73"/>
      <c r="E58" s="73"/>
      <c r="F58" s="73"/>
      <c r="G58" s="73"/>
      <c r="H58" s="73"/>
      <c r="I58" s="73"/>
      <c r="J58" s="73"/>
      <c r="K58" s="73"/>
      <c r="M58" s="555"/>
      <c r="N58" s="555"/>
      <c r="O58" s="180"/>
    </row>
    <row r="59" spans="1:15" ht="24" customHeight="1">
      <c r="A59" s="71" t="s">
        <v>900</v>
      </c>
      <c r="B59" s="64"/>
      <c r="C59" s="3">
        <f>'Budget Detail FY 2013-20'!L551</f>
        <v>504996</v>
      </c>
      <c r="D59" s="3">
        <f>'Budget Detail FY 2013-20'!M551</f>
        <v>328954</v>
      </c>
      <c r="E59" s="3">
        <f>'Budget Detail FY 2013-20'!N551</f>
        <v>330354</v>
      </c>
      <c r="F59" s="3">
        <f>'Budget Detail FY 2013-20'!O551</f>
        <v>2697054</v>
      </c>
      <c r="G59" s="3">
        <f>'Budget Detail FY 2013-20'!P551</f>
        <v>310775</v>
      </c>
      <c r="H59" s="3">
        <f>'Budget Detail FY 2013-20'!Q551</f>
        <v>320675</v>
      </c>
      <c r="I59" s="3">
        <f>'Budget Detail FY 2013-20'!R551</f>
        <v>320275</v>
      </c>
      <c r="J59" s="3">
        <f>'Budget Detail FY 2013-20'!S551</f>
        <v>324775</v>
      </c>
      <c r="K59" s="3">
        <f>'Budget Detail FY 2013-20'!T551</f>
        <v>324075</v>
      </c>
      <c r="M59" s="555">
        <f>SUM(C59:K59)</f>
        <v>5461933</v>
      </c>
      <c r="N59" s="555">
        <f>SUM('Fund Cover Sheets'!C399:K399)</f>
        <v>5461933</v>
      </c>
      <c r="O59" s="677">
        <f>M59-N59</f>
        <v>0</v>
      </c>
    </row>
    <row r="60" spans="1:15">
      <c r="A60" s="71"/>
      <c r="B60" s="64"/>
      <c r="C60" s="3"/>
      <c r="D60" s="3"/>
      <c r="E60" s="3"/>
      <c r="F60" s="3"/>
      <c r="G60" s="3"/>
      <c r="H60" s="3"/>
      <c r="I60" s="3"/>
      <c r="J60" s="3"/>
      <c r="K60" s="3"/>
      <c r="M60" s="555"/>
      <c r="N60" s="555"/>
      <c r="O60" s="180"/>
    </row>
    <row r="61" spans="1:15" ht="24" customHeight="1">
      <c r="A61" s="71" t="s">
        <v>901</v>
      </c>
      <c r="B61" s="64"/>
      <c r="C61" s="3"/>
      <c r="D61" s="3"/>
      <c r="E61" s="3"/>
      <c r="F61" s="3"/>
      <c r="G61" s="3"/>
      <c r="H61" s="3"/>
      <c r="I61" s="3"/>
      <c r="J61" s="3"/>
      <c r="K61" s="3"/>
      <c r="M61" s="555"/>
      <c r="N61" s="555"/>
      <c r="O61" s="180"/>
    </row>
    <row r="62" spans="1:15" ht="24" customHeight="1">
      <c r="A62" s="71"/>
      <c r="B62" s="69" t="s">
        <v>902</v>
      </c>
      <c r="C62" s="3">
        <f>'Budget Detail FY 2013-20'!L367</f>
        <v>5100</v>
      </c>
      <c r="D62" s="3">
        <f>'Budget Detail FY 2013-20'!M367</f>
        <v>3930</v>
      </c>
      <c r="E62" s="3">
        <f>'Budget Detail FY 2013-20'!N367</f>
        <v>0</v>
      </c>
      <c r="F62" s="3">
        <f>'Budget Detail FY 2013-20'!O367</f>
        <v>0</v>
      </c>
      <c r="G62" s="3">
        <f>'Budget Detail FY 2013-20'!P367</f>
        <v>0</v>
      </c>
      <c r="H62" s="3">
        <f>'Budget Detail FY 2013-20'!Q367</f>
        <v>0</v>
      </c>
      <c r="I62" s="3">
        <f>'Budget Detail FY 2013-20'!R367</f>
        <v>0</v>
      </c>
      <c r="J62" s="3">
        <f>'Budget Detail FY 2013-20'!S367</f>
        <v>0</v>
      </c>
      <c r="K62" s="3">
        <f>'Budget Detail FY 2013-20'!T367</f>
        <v>0</v>
      </c>
      <c r="M62" s="555">
        <f t="shared" ref="M62:M64" si="11">SUM(C62:K62)</f>
        <v>9030</v>
      </c>
      <c r="N62" s="555">
        <f>SUM('Fund Cover Sheets'!C208:K208)</f>
        <v>9030</v>
      </c>
      <c r="O62" s="677">
        <f t="shared" ref="O62:O64" si="12">M62-N62</f>
        <v>0</v>
      </c>
    </row>
    <row r="63" spans="1:15" ht="24" customHeight="1">
      <c r="A63" s="72"/>
      <c r="B63" s="69" t="s">
        <v>1038</v>
      </c>
      <c r="C63" s="3">
        <f>'Budget Detail FY 2013-20'!L509</f>
        <v>291163</v>
      </c>
      <c r="D63" s="3">
        <f>'Budget Detail FY 2013-20'!M509</f>
        <v>333269</v>
      </c>
      <c r="E63" s="3">
        <f>'Budget Detail FY 2013-20'!N509</f>
        <v>559202</v>
      </c>
      <c r="F63" s="3">
        <f>'Budget Detail FY 2013-20'!O509</f>
        <v>486638</v>
      </c>
      <c r="G63" s="3">
        <f>'Budget Detail FY 2013-20'!P509</f>
        <v>616130</v>
      </c>
      <c r="H63" s="3">
        <f>'Budget Detail FY 2013-20'!Q509</f>
        <v>258201</v>
      </c>
      <c r="I63" s="3">
        <f>'Budget Detail FY 2013-20'!R509</f>
        <v>258201</v>
      </c>
      <c r="J63" s="3">
        <f>'Budget Detail FY 2013-20'!S509</f>
        <v>258201</v>
      </c>
      <c r="K63" s="3">
        <f>'Budget Detail FY 2013-20'!T509</f>
        <v>258201</v>
      </c>
      <c r="M63" s="555">
        <f t="shared" si="11"/>
        <v>3319206</v>
      </c>
      <c r="N63" s="555">
        <f>SUM('Fund Cover Sheets'!C341:K341)</f>
        <v>3319206</v>
      </c>
      <c r="O63" s="677">
        <f t="shared" si="12"/>
        <v>0</v>
      </c>
    </row>
    <row r="64" spans="1:15" ht="24" customHeight="1">
      <c r="A64" s="72"/>
      <c r="B64" s="69" t="s">
        <v>904</v>
      </c>
      <c r="C64" s="73">
        <f>'Budget Detail FY 2013-20'!L438</f>
        <v>386213</v>
      </c>
      <c r="D64" s="73">
        <f>'Budget Detail FY 2013-20'!M438</f>
        <v>1204795</v>
      </c>
      <c r="E64" s="73">
        <f>'Budget Detail FY 2013-20'!N438</f>
        <v>2579272</v>
      </c>
      <c r="F64" s="73">
        <f>'Budget Detail FY 2013-20'!O438</f>
        <v>2523984</v>
      </c>
      <c r="G64" s="73">
        <f>'Budget Detail FY 2013-20'!P438</f>
        <v>5900204</v>
      </c>
      <c r="H64" s="73">
        <f>'Budget Detail FY 2013-20'!Q438</f>
        <v>1461482</v>
      </c>
      <c r="I64" s="73">
        <f>'Budget Detail FY 2013-20'!R438</f>
        <v>1348114</v>
      </c>
      <c r="J64" s="73">
        <f>'Budget Detail FY 2013-20'!S438</f>
        <v>762000</v>
      </c>
      <c r="K64" s="73">
        <f>'Budget Detail FY 2013-20'!T438</f>
        <v>762000</v>
      </c>
      <c r="M64" s="555">
        <f t="shared" si="11"/>
        <v>16928064</v>
      </c>
      <c r="N64" s="555">
        <f>SUM('Fund Cover Sheets'!C259:K259)</f>
        <v>16928064</v>
      </c>
      <c r="O64" s="677">
        <f t="shared" si="12"/>
        <v>0</v>
      </c>
    </row>
    <row r="65" spans="1:15">
      <c r="A65" s="72"/>
      <c r="B65" s="69"/>
      <c r="C65" s="73"/>
      <c r="D65" s="73"/>
      <c r="E65" s="73"/>
      <c r="F65" s="73"/>
      <c r="G65" s="73"/>
      <c r="H65" s="73"/>
      <c r="I65" s="73"/>
      <c r="J65" s="73"/>
      <c r="K65" s="73"/>
      <c r="M65" s="555"/>
      <c r="N65" s="555"/>
      <c r="O65" s="180"/>
    </row>
    <row r="66" spans="1:15" ht="24" customHeight="1">
      <c r="A66" s="71" t="s">
        <v>905</v>
      </c>
      <c r="B66" s="69"/>
      <c r="C66" s="73"/>
      <c r="D66" s="73"/>
      <c r="E66" s="73"/>
      <c r="F66" s="73"/>
      <c r="G66" s="73"/>
      <c r="H66" s="73"/>
      <c r="I66" s="73"/>
      <c r="J66" s="73"/>
      <c r="K66" s="73"/>
      <c r="M66" s="555"/>
      <c r="N66" s="555"/>
      <c r="O66" s="180"/>
    </row>
    <row r="67" spans="1:15" ht="24" customHeight="1">
      <c r="B67" s="69" t="s">
        <v>679</v>
      </c>
      <c r="C67" s="73">
        <f>'Budget Detail FY 2013-20'!L655</f>
        <v>2878499</v>
      </c>
      <c r="D67" s="73">
        <f>'Budget Detail FY 2013-20'!M655</f>
        <v>2763633</v>
      </c>
      <c r="E67" s="73">
        <f>'Budget Detail FY 2013-20'!N655</f>
        <v>3093781</v>
      </c>
      <c r="F67" s="73">
        <f>'Budget Detail FY 2013-20'!O655</f>
        <v>3107632</v>
      </c>
      <c r="G67" s="73">
        <f>'Budget Detail FY 2013-20'!P655</f>
        <v>7949715</v>
      </c>
      <c r="H67" s="73">
        <f>'Budget Detail FY 2013-20'!Q655</f>
        <v>3504329</v>
      </c>
      <c r="I67" s="73">
        <f>'Budget Detail FY 2013-20'!R655</f>
        <v>3957356</v>
      </c>
      <c r="J67" s="73">
        <f>'Budget Detail FY 2013-20'!S655</f>
        <v>4172311</v>
      </c>
      <c r="K67" s="73">
        <f>'Budget Detail FY 2013-20'!T655</f>
        <v>4458616</v>
      </c>
      <c r="M67" s="555">
        <f t="shared" ref="M67:M69" si="13">SUM(C67:K67)</f>
        <v>35885872</v>
      </c>
      <c r="N67" s="555">
        <f>SUM('Fund Cover Sheets'!C452:K452)</f>
        <v>35885872</v>
      </c>
      <c r="O67" s="677">
        <f t="shared" ref="O67:O69" si="14">M67-N67</f>
        <v>0</v>
      </c>
    </row>
    <row r="68" spans="1:15" ht="24" customHeight="1">
      <c r="B68" s="69" t="s">
        <v>680</v>
      </c>
      <c r="C68" s="73">
        <f>'Budget Detail FY 2013-20'!L742</f>
        <v>1660200</v>
      </c>
      <c r="D68" s="73">
        <f>'Budget Detail FY 2013-20'!M742</f>
        <v>2503777</v>
      </c>
      <c r="E68" s="73">
        <f>'Budget Detail FY 2013-20'!N742</f>
        <v>3217226</v>
      </c>
      <c r="F68" s="73">
        <f>'Budget Detail FY 2013-20'!O742</f>
        <v>3479120</v>
      </c>
      <c r="G68" s="73">
        <f>'Budget Detail FY 2013-20'!P742</f>
        <v>2941087</v>
      </c>
      <c r="H68" s="73">
        <f>'Budget Detail FY 2013-20'!Q742</f>
        <v>2962241</v>
      </c>
      <c r="I68" s="73">
        <f>'Budget Detail FY 2013-20'!R742</f>
        <v>2996682</v>
      </c>
      <c r="J68" s="73">
        <f>'Budget Detail FY 2013-20'!S742</f>
        <v>3029503</v>
      </c>
      <c r="K68" s="73">
        <f>'Budget Detail FY 2013-20'!T742</f>
        <v>2515774</v>
      </c>
      <c r="M68" s="555">
        <f t="shared" si="13"/>
        <v>25305610</v>
      </c>
      <c r="N68" s="555">
        <f>SUM('Fund Cover Sheets'!C507:K507)</f>
        <v>25305610</v>
      </c>
      <c r="O68" s="677">
        <f t="shared" si="14"/>
        <v>0</v>
      </c>
    </row>
    <row r="69" spans="1:15" ht="24" customHeight="1">
      <c r="B69" s="69" t="s">
        <v>611</v>
      </c>
      <c r="C69" s="73">
        <f>'Budget Detail FY 2013-20'!L918</f>
        <v>591504</v>
      </c>
      <c r="D69" s="73">
        <f>'Budget Detail FY 2013-20'!M918</f>
        <v>234086</v>
      </c>
      <c r="E69" s="73">
        <f>'Budget Detail FY 2013-20'!N918</f>
        <v>0</v>
      </c>
      <c r="F69" s="73">
        <f>'Budget Detail FY 2013-20'!O918</f>
        <v>0</v>
      </c>
      <c r="G69" s="73">
        <f>'Budget Detail FY 2013-20'!P918</f>
        <v>0</v>
      </c>
      <c r="H69" s="73">
        <f>'Budget Detail FY 2013-20'!Q918</f>
        <v>0</v>
      </c>
      <c r="I69" s="73">
        <f>'Budget Detail FY 2013-20'!R918</f>
        <v>0</v>
      </c>
      <c r="J69" s="73">
        <f>'Budget Detail FY 2013-20'!S918</f>
        <v>0</v>
      </c>
      <c r="K69" s="73">
        <f>'Budget Detail FY 2013-20'!T918</f>
        <v>0</v>
      </c>
      <c r="M69" s="555">
        <f t="shared" si="13"/>
        <v>825590</v>
      </c>
      <c r="N69" s="555">
        <f>SUM('Fund Cover Sheets'!C660:K660)</f>
        <v>825590</v>
      </c>
      <c r="O69" s="677">
        <f t="shared" si="14"/>
        <v>0</v>
      </c>
    </row>
    <row r="70" spans="1:15">
      <c r="B70" s="69"/>
      <c r="C70" s="73"/>
      <c r="D70" s="73"/>
      <c r="E70" s="73"/>
      <c r="F70" s="73"/>
      <c r="G70" s="73"/>
      <c r="H70" s="73"/>
      <c r="I70" s="73"/>
      <c r="J70" s="73"/>
      <c r="K70" s="73"/>
      <c r="M70" s="555"/>
      <c r="N70" s="555"/>
      <c r="O70" s="180"/>
    </row>
    <row r="71" spans="1:15" ht="24" customHeight="1">
      <c r="A71" s="71" t="s">
        <v>909</v>
      </c>
      <c r="B71" s="69"/>
      <c r="C71" s="73"/>
      <c r="D71" s="73"/>
      <c r="E71" s="73"/>
      <c r="F71" s="73"/>
      <c r="G71" s="73"/>
      <c r="H71" s="73"/>
      <c r="I71" s="73"/>
      <c r="J71" s="73"/>
      <c r="K71" s="73"/>
      <c r="M71" s="555"/>
      <c r="N71" s="555"/>
      <c r="O71" s="180"/>
    </row>
    <row r="72" spans="1:15" ht="24" customHeight="1">
      <c r="A72" s="71"/>
      <c r="B72" s="69" t="s">
        <v>670</v>
      </c>
      <c r="C72" s="73">
        <f>'Budget Detail FY 2013-20'!L983</f>
        <v>732279</v>
      </c>
      <c r="D72" s="73">
        <f>'Budget Detail FY 2013-20'!M983</f>
        <v>716452</v>
      </c>
      <c r="E72" s="73">
        <f>'Budget Detail FY 2013-20'!N983</f>
        <v>783453</v>
      </c>
      <c r="F72" s="73">
        <f>'Budget Detail FY 2013-20'!O983</f>
        <v>798159</v>
      </c>
      <c r="G72" s="73">
        <f>'Budget Detail FY 2013-20'!P983</f>
        <v>716122</v>
      </c>
      <c r="H72" s="73">
        <f>'Budget Detail FY 2013-20'!Q983</f>
        <v>712306</v>
      </c>
      <c r="I72" s="73">
        <f>'Budget Detail FY 2013-20'!R983</f>
        <v>723853</v>
      </c>
      <c r="J72" s="73">
        <f>'Budget Detail FY 2013-20'!S983</f>
        <v>736239</v>
      </c>
      <c r="K72" s="73">
        <f>'Budget Detail FY 2013-20'!T983</f>
        <v>749520</v>
      </c>
      <c r="M72" s="555">
        <f t="shared" ref="M72:M74" si="15">SUM(C72:K72)</f>
        <v>6668383</v>
      </c>
      <c r="N72" s="555">
        <f>SUM('Fund Cover Sheets'!C716:K716)</f>
        <v>6668383</v>
      </c>
      <c r="O72" s="677">
        <f t="shared" ref="O72:O76" si="16">M72-N72</f>
        <v>0</v>
      </c>
    </row>
    <row r="73" spans="1:15" ht="24" customHeight="1">
      <c r="A73" s="71"/>
      <c r="B73" s="69" t="s">
        <v>586</v>
      </c>
      <c r="C73" s="73">
        <f>'Budget Detail FY 2013-20'!L1008</f>
        <v>795488</v>
      </c>
      <c r="D73" s="73">
        <f>'Budget Detail FY 2013-20'!M1008</f>
        <v>767720</v>
      </c>
      <c r="E73" s="73">
        <f>'Budget Detail FY 2013-20'!N1008</f>
        <v>731321</v>
      </c>
      <c r="F73" s="73">
        <f>'Budget Detail FY 2013-20'!O1008</f>
        <v>731321</v>
      </c>
      <c r="G73" s="73">
        <f>'Budget Detail FY 2013-20'!P1008</f>
        <v>749846</v>
      </c>
      <c r="H73" s="73">
        <f>'Budget Detail FY 2013-20'!Q1008</f>
        <v>752771</v>
      </c>
      <c r="I73" s="73">
        <f>'Budget Detail FY 2013-20'!R1008</f>
        <v>760396</v>
      </c>
      <c r="J73" s="73">
        <f>'Budget Detail FY 2013-20'!S1008</f>
        <v>792101</v>
      </c>
      <c r="K73" s="73">
        <f>'Budget Detail FY 2013-20'!T1008</f>
        <v>797013</v>
      </c>
      <c r="M73" s="555">
        <f t="shared" si="15"/>
        <v>6877977</v>
      </c>
      <c r="N73" s="555">
        <f>SUM('Fund Cover Sheets'!C763:K763)</f>
        <v>6877977</v>
      </c>
      <c r="O73" s="677">
        <f t="shared" si="16"/>
        <v>0</v>
      </c>
    </row>
    <row r="74" spans="1:15" ht="24" customHeight="1">
      <c r="A74" s="71"/>
      <c r="B74" s="69" t="s">
        <v>907</v>
      </c>
      <c r="C74" s="73">
        <f>'Budget Detail FY 2013-20'!L1028</f>
        <v>26312</v>
      </c>
      <c r="D74" s="73">
        <f>'Budget Detail FY 2013-20'!M1028</f>
        <v>42484</v>
      </c>
      <c r="E74" s="73">
        <f>'Budget Detail FY 2013-20'!N1028</f>
        <v>55015</v>
      </c>
      <c r="F74" s="73">
        <f>'Budget Detail FY 2013-20'!O1028</f>
        <v>55015</v>
      </c>
      <c r="G74" s="73">
        <f>'Budget Detail FY 2013-20'!P1028</f>
        <v>11895</v>
      </c>
      <c r="H74" s="73">
        <f>'Budget Detail FY 2013-20'!Q1028</f>
        <v>20000</v>
      </c>
      <c r="I74" s="73">
        <f>'Budget Detail FY 2013-20'!R1028</f>
        <v>20010</v>
      </c>
      <c r="J74" s="73">
        <f>'Budget Detail FY 2013-20'!S1028</f>
        <v>20010</v>
      </c>
      <c r="K74" s="73">
        <f>'Budget Detail FY 2013-20'!T1028</f>
        <v>20010</v>
      </c>
      <c r="M74" s="555">
        <f t="shared" si="15"/>
        <v>270751</v>
      </c>
      <c r="N74" s="555">
        <f>SUM('Fund Cover Sheets'!C809:K809)</f>
        <v>270751</v>
      </c>
      <c r="O74" s="677">
        <f t="shared" si="16"/>
        <v>0</v>
      </c>
    </row>
    <row r="75" spans="1:15">
      <c r="C75" s="2"/>
      <c r="D75" s="2"/>
      <c r="E75" s="2"/>
      <c r="F75" s="2"/>
      <c r="G75" s="2"/>
      <c r="H75" s="2"/>
      <c r="I75" s="2"/>
      <c r="J75" s="2"/>
      <c r="K75" s="2"/>
      <c r="M75" s="555"/>
      <c r="N75" s="555"/>
      <c r="O75" s="180"/>
    </row>
    <row r="76" spans="1:15" ht="24" customHeight="1" thickBot="1">
      <c r="A76" s="7"/>
      <c r="B76" s="75" t="s">
        <v>966</v>
      </c>
      <c r="C76" s="76">
        <f>SUM(C48:C75)</f>
        <v>20377223</v>
      </c>
      <c r="D76" s="76">
        <f t="shared" ref="D76:K76" si="17">SUM(D48:D75)</f>
        <v>29210478</v>
      </c>
      <c r="E76" s="76">
        <f t="shared" si="17"/>
        <v>28301306</v>
      </c>
      <c r="F76" s="76">
        <f t="shared" si="17"/>
        <v>30978159</v>
      </c>
      <c r="G76" s="76">
        <f t="shared" si="17"/>
        <v>37154706</v>
      </c>
      <c r="H76" s="76">
        <f t="shared" si="17"/>
        <v>27660461</v>
      </c>
      <c r="I76" s="76">
        <f t="shared" si="17"/>
        <v>28463855</v>
      </c>
      <c r="J76" s="76">
        <f t="shared" si="17"/>
        <v>28753528</v>
      </c>
      <c r="K76" s="76">
        <f t="shared" si="17"/>
        <v>29251337</v>
      </c>
      <c r="M76" s="555">
        <f>SUM(M48:M74)</f>
        <v>260151053</v>
      </c>
      <c r="N76" s="555">
        <f>SUM(N48:N74)</f>
        <v>260151053</v>
      </c>
      <c r="O76" s="677">
        <f t="shared" si="16"/>
        <v>0</v>
      </c>
    </row>
    <row r="77" spans="1:15" ht="15.75" thickTop="1">
      <c r="M77" s="2"/>
      <c r="N77" s="2"/>
    </row>
    <row r="78" spans="1:15">
      <c r="M78" s="2"/>
      <c r="N78" s="2"/>
    </row>
    <row r="79" spans="1:15">
      <c r="M79" s="2"/>
      <c r="N79" s="2"/>
    </row>
    <row r="80" spans="1:15">
      <c r="M80" s="2"/>
      <c r="N80" s="2"/>
    </row>
    <row r="81" spans="13:14">
      <c r="M81" s="2"/>
      <c r="N81" s="2"/>
    </row>
    <row r="82" spans="13:14">
      <c r="M82" s="2"/>
      <c r="N82" s="2"/>
    </row>
    <row r="83" spans="13:14">
      <c r="M83" s="2"/>
      <c r="N83" s="2"/>
    </row>
    <row r="84" spans="13:14">
      <c r="M84" s="2"/>
      <c r="N84" s="2"/>
    </row>
    <row r="85" spans="13:14">
      <c r="M85" s="2"/>
      <c r="N85" s="2"/>
    </row>
    <row r="86" spans="13:14">
      <c r="M86" s="2"/>
      <c r="N86" s="2"/>
    </row>
    <row r="87" spans="13:14">
      <c r="M87" s="2"/>
      <c r="N87" s="2"/>
    </row>
    <row r="88" spans="13:14">
      <c r="M88" s="2"/>
      <c r="N88" s="2"/>
    </row>
    <row r="89" spans="13:14">
      <c r="M89" s="2"/>
      <c r="N89" s="2"/>
    </row>
    <row r="90" spans="13:14">
      <c r="M90" s="2"/>
      <c r="N90" s="2"/>
    </row>
    <row r="91" spans="13:14">
      <c r="M91" s="2"/>
      <c r="N91" s="2"/>
    </row>
    <row r="92" spans="13:14">
      <c r="M92" s="2"/>
      <c r="N92" s="2"/>
    </row>
    <row r="93" spans="13:14">
      <c r="M93" s="2"/>
      <c r="N93" s="2"/>
    </row>
    <row r="94" spans="13:14">
      <c r="M94" s="2"/>
      <c r="N94" s="2"/>
    </row>
    <row r="95" spans="13:14">
      <c r="M95" s="2"/>
      <c r="N95" s="2"/>
    </row>
    <row r="96" spans="13:14">
      <c r="M96" s="2"/>
      <c r="N96" s="2"/>
    </row>
    <row r="97" spans="13:14">
      <c r="M97" s="2"/>
      <c r="N97" s="2"/>
    </row>
    <row r="98" spans="13:14">
      <c r="M98" s="2"/>
      <c r="N98" s="2"/>
    </row>
    <row r="99" spans="13:14">
      <c r="M99" s="2"/>
      <c r="N99" s="2"/>
    </row>
    <row r="100" spans="13:14">
      <c r="M100" s="2"/>
      <c r="N100" s="2"/>
    </row>
    <row r="101" spans="13:14">
      <c r="M101" s="2"/>
      <c r="N101" s="2"/>
    </row>
    <row r="102" spans="13:14">
      <c r="M102" s="2"/>
      <c r="N102" s="2"/>
    </row>
    <row r="103" spans="13:14">
      <c r="M103" s="2"/>
      <c r="N103" s="2"/>
    </row>
    <row r="104" spans="13:14">
      <c r="M104" s="2"/>
      <c r="N104" s="2"/>
    </row>
    <row r="105" spans="13:14">
      <c r="M105" s="2"/>
      <c r="N105" s="2"/>
    </row>
  </sheetData>
  <mergeCells count="6">
    <mergeCell ref="B40:K40"/>
    <mergeCell ref="B41:K41"/>
    <mergeCell ref="B42:K42"/>
    <mergeCell ref="B1:K1"/>
    <mergeCell ref="B2:K2"/>
    <mergeCell ref="B3:K3"/>
  </mergeCells>
  <printOptions horizontalCentered="1"/>
  <pageMargins left="0" right="0" top="0.5" bottom="0" header="0" footer="0"/>
  <pageSetup scale="70" orientation="landscape" r:id="rId1"/>
  <rowBreaks count="1" manualBreakCount="1">
    <brk id="39" max="10" man="1"/>
  </rowBreaks>
</worksheet>
</file>

<file path=xl/worksheets/sheet2.xml><?xml version="1.0" encoding="utf-8"?>
<worksheet xmlns="http://schemas.openxmlformats.org/spreadsheetml/2006/main" xmlns:r="http://schemas.openxmlformats.org/officeDocument/2006/relationships">
  <dimension ref="A1:U108"/>
  <sheetViews>
    <sheetView zoomScaleNormal="100" workbookViewId="0">
      <selection activeCell="Y9" sqref="Y9"/>
    </sheetView>
  </sheetViews>
  <sheetFormatPr defaultColWidth="10.42578125" defaultRowHeight="15"/>
  <cols>
    <col min="1" max="1" width="3.7109375" style="1" customWidth="1"/>
    <col min="2" max="2" width="25.85546875" style="1" customWidth="1"/>
    <col min="3" max="13" width="12.7109375" style="1" customWidth="1"/>
    <col min="14" max="14" width="6.28515625" style="65" customWidth="1"/>
    <col min="15" max="15" width="19.28515625" style="78" hidden="1" customWidth="1"/>
    <col min="16" max="16" width="12.7109375" style="1" hidden="1" customWidth="1"/>
    <col min="17" max="18" width="0" style="1" hidden="1" customWidth="1"/>
    <col min="19" max="19" width="14" style="1" hidden="1" customWidth="1"/>
    <col min="20" max="21" width="0" style="1" hidden="1" customWidth="1"/>
    <col min="22" max="16384" width="10.42578125" style="1"/>
  </cols>
  <sheetData>
    <row r="1" spans="1:21" ht="24" customHeight="1">
      <c r="A1" s="728" t="s">
        <v>892</v>
      </c>
      <c r="B1" s="728"/>
      <c r="C1" s="728"/>
      <c r="D1" s="728"/>
      <c r="E1" s="728"/>
      <c r="F1" s="728"/>
      <c r="G1" s="728"/>
      <c r="H1" s="728"/>
      <c r="I1" s="728"/>
      <c r="J1" s="728"/>
      <c r="K1" s="728"/>
      <c r="L1" s="728"/>
      <c r="M1" s="728"/>
      <c r="N1" s="724"/>
    </row>
    <row r="2" spans="1:21" ht="24" customHeight="1">
      <c r="A2" s="729" t="s">
        <v>910</v>
      </c>
      <c r="B2" s="729"/>
      <c r="C2" s="729"/>
      <c r="D2" s="729"/>
      <c r="E2" s="729"/>
      <c r="F2" s="729"/>
      <c r="G2" s="729"/>
      <c r="H2" s="729"/>
      <c r="I2" s="729"/>
      <c r="J2" s="729"/>
      <c r="K2" s="729"/>
      <c r="L2" s="729"/>
      <c r="M2" s="729"/>
      <c r="N2" s="724"/>
    </row>
    <row r="3" spans="1:21" ht="24" customHeight="1">
      <c r="A3" s="728" t="s">
        <v>1340</v>
      </c>
      <c r="B3" s="728"/>
      <c r="C3" s="728"/>
      <c r="D3" s="728"/>
      <c r="E3" s="728"/>
      <c r="F3" s="728"/>
      <c r="G3" s="728"/>
      <c r="H3" s="728"/>
      <c r="I3" s="728"/>
      <c r="J3" s="728"/>
      <c r="K3" s="728"/>
      <c r="L3" s="728"/>
      <c r="M3" s="728"/>
      <c r="N3" s="724"/>
    </row>
    <row r="4" spans="1:21" ht="15" customHeight="1"/>
    <row r="5" spans="1:21" ht="15" customHeight="1">
      <c r="L5" s="66" t="s">
        <v>911</v>
      </c>
      <c r="O5" s="557" t="s">
        <v>1141</v>
      </c>
      <c r="P5" s="180"/>
      <c r="Q5" s="556"/>
      <c r="R5" s="556"/>
      <c r="S5" s="556"/>
      <c r="T5" s="556"/>
      <c r="U5" s="556"/>
    </row>
    <row r="6" spans="1:21" ht="15" customHeight="1">
      <c r="D6" s="65" t="s">
        <v>912</v>
      </c>
      <c r="E6" s="65" t="s">
        <v>913</v>
      </c>
      <c r="F6" s="66" t="s">
        <v>914</v>
      </c>
      <c r="G6" s="65" t="s">
        <v>915</v>
      </c>
      <c r="H6" s="65" t="s">
        <v>916</v>
      </c>
      <c r="I6" s="65" t="s">
        <v>917</v>
      </c>
      <c r="J6" s="66" t="s">
        <v>918</v>
      </c>
      <c r="K6" s="66" t="s">
        <v>919</v>
      </c>
      <c r="L6" s="66" t="s">
        <v>920</v>
      </c>
      <c r="M6" s="66" t="s">
        <v>921</v>
      </c>
      <c r="N6" s="66"/>
      <c r="O6" s="557" t="s">
        <v>1140</v>
      </c>
      <c r="P6" s="353" t="s">
        <v>1138</v>
      </c>
      <c r="Q6" s="556"/>
      <c r="R6" s="556"/>
      <c r="S6" s="556"/>
      <c r="T6" s="556"/>
      <c r="U6" s="556"/>
    </row>
    <row r="7" spans="1:21" ht="15" customHeight="1" thickBot="1">
      <c r="A7" s="67"/>
      <c r="B7" s="67" t="s">
        <v>894</v>
      </c>
      <c r="C7" s="79" t="s">
        <v>834</v>
      </c>
      <c r="D7" s="79" t="s">
        <v>922</v>
      </c>
      <c r="E7" s="68" t="s">
        <v>923</v>
      </c>
      <c r="F7" s="68" t="s">
        <v>924</v>
      </c>
      <c r="G7" s="68" t="s">
        <v>925</v>
      </c>
      <c r="H7" s="68" t="s">
        <v>926</v>
      </c>
      <c r="I7" s="68" t="s">
        <v>927</v>
      </c>
      <c r="J7" s="68" t="s">
        <v>928</v>
      </c>
      <c r="K7" s="68" t="s">
        <v>929</v>
      </c>
      <c r="L7" s="68" t="s">
        <v>930</v>
      </c>
      <c r="M7" s="68" t="s">
        <v>931</v>
      </c>
      <c r="N7" s="70"/>
      <c r="O7" s="558"/>
      <c r="P7" s="180"/>
      <c r="Q7" s="556"/>
      <c r="R7" s="556"/>
      <c r="S7" s="556"/>
      <c r="T7" s="556"/>
      <c r="U7" s="556"/>
    </row>
    <row r="8" spans="1:21" ht="15" customHeight="1">
      <c r="A8" s="69"/>
      <c r="B8" s="69"/>
      <c r="C8" s="80"/>
      <c r="D8" s="80"/>
      <c r="E8" s="70"/>
      <c r="F8" s="70"/>
      <c r="G8" s="70"/>
      <c r="H8" s="70"/>
      <c r="I8" s="70"/>
      <c r="J8" s="70"/>
      <c r="K8" s="70"/>
      <c r="L8" s="70"/>
      <c r="M8" s="70"/>
      <c r="N8" s="70"/>
      <c r="O8" s="558"/>
      <c r="P8" s="180"/>
      <c r="Q8" s="556"/>
      <c r="R8" s="556"/>
      <c r="S8" s="556"/>
      <c r="T8" s="556"/>
      <c r="U8" s="556"/>
    </row>
    <row r="9" spans="1:21" ht="15" customHeight="1">
      <c r="O9" s="558"/>
      <c r="P9" s="180"/>
      <c r="Q9" s="556"/>
      <c r="R9" s="556"/>
      <c r="S9" s="556"/>
      <c r="T9" s="556"/>
      <c r="U9" s="556"/>
    </row>
    <row r="10" spans="1:21" ht="24" customHeight="1">
      <c r="A10" s="71" t="s">
        <v>895</v>
      </c>
      <c r="C10" s="2">
        <f>'Fund Cover Sheets'!G11</f>
        <v>10229937</v>
      </c>
      <c r="D10" s="2">
        <f>'Fund Cover Sheets'!G12</f>
        <v>2178100</v>
      </c>
      <c r="E10" s="2">
        <f>'Fund Cover Sheets'!G13</f>
        <v>198000</v>
      </c>
      <c r="F10" s="2">
        <f>'Fund Cover Sheets'!G14</f>
        <v>160250</v>
      </c>
      <c r="G10" s="2">
        <f>'Fund Cover Sheets'!G15</f>
        <v>1319950</v>
      </c>
      <c r="H10" s="2">
        <f>'Fund Cover Sheets'!G16</f>
        <v>4000</v>
      </c>
      <c r="I10" s="2">
        <f>'Fund Cover Sheets'!G17</f>
        <v>80000</v>
      </c>
      <c r="J10" s="2">
        <f>'Fund Cover Sheets'!G18</f>
        <v>22500</v>
      </c>
      <c r="K10" s="2">
        <v>0</v>
      </c>
      <c r="L10" s="2">
        <f>'Fund Cover Sheets'!G19</f>
        <v>7900</v>
      </c>
      <c r="M10" s="2">
        <f>SUM(C10:L10)</f>
        <v>14200637</v>
      </c>
      <c r="N10" s="81"/>
      <c r="O10" s="555">
        <f>'Fund Cover Sheets'!G20</f>
        <v>14200637</v>
      </c>
      <c r="P10" s="678">
        <f>M10-O10</f>
        <v>0</v>
      </c>
      <c r="Q10" s="556"/>
      <c r="R10" s="556"/>
      <c r="S10" s="556"/>
      <c r="T10" s="556"/>
      <c r="U10" s="556"/>
    </row>
    <row r="11" spans="1:21" ht="15" customHeight="1">
      <c r="A11" s="71"/>
      <c r="C11" s="2"/>
      <c r="D11" s="2"/>
      <c r="E11" s="2"/>
      <c r="F11" s="2"/>
      <c r="G11" s="2"/>
      <c r="H11" s="2"/>
      <c r="I11" s="2"/>
      <c r="J11" s="2"/>
      <c r="K11" s="2"/>
      <c r="L11" s="2"/>
      <c r="M11" s="2"/>
      <c r="N11" s="81"/>
      <c r="O11" s="555"/>
      <c r="P11" s="678"/>
      <c r="Q11" s="556"/>
      <c r="R11" s="556"/>
      <c r="S11" s="556"/>
      <c r="T11" s="556"/>
      <c r="U11" s="556"/>
    </row>
    <row r="12" spans="1:21" ht="24" customHeight="1">
      <c r="A12" s="71" t="s">
        <v>896</v>
      </c>
      <c r="C12" s="73"/>
      <c r="D12" s="73"/>
      <c r="E12" s="73"/>
      <c r="F12" s="73"/>
      <c r="G12" s="73"/>
      <c r="H12" s="73"/>
      <c r="I12" s="73"/>
      <c r="J12" s="73"/>
      <c r="K12" s="73"/>
      <c r="L12" s="3"/>
      <c r="M12" s="3"/>
      <c r="N12" s="81"/>
      <c r="O12" s="555"/>
      <c r="P12" s="678"/>
      <c r="Q12" s="556"/>
      <c r="R12" s="556"/>
      <c r="S12" s="556"/>
      <c r="T12" s="556"/>
      <c r="U12" s="556"/>
    </row>
    <row r="13" spans="1:21" ht="24" customHeight="1">
      <c r="A13" s="71"/>
      <c r="B13" s="1" t="s">
        <v>815</v>
      </c>
      <c r="C13" s="73">
        <v>0</v>
      </c>
      <c r="D13" s="73">
        <f>'Fund Cover Sheets'!G153</f>
        <v>483500</v>
      </c>
      <c r="E13" s="73">
        <v>0</v>
      </c>
      <c r="F13" s="73">
        <v>0</v>
      </c>
      <c r="G13" s="73">
        <v>0</v>
      </c>
      <c r="H13" s="73">
        <f>'Fund Cover Sheets'!G154</f>
        <v>500</v>
      </c>
      <c r="I13" s="73">
        <f>'Fund Cover Sheets'!G155</f>
        <v>0</v>
      </c>
      <c r="J13" s="73">
        <v>0</v>
      </c>
      <c r="K13" s="73">
        <v>0</v>
      </c>
      <c r="L13" s="3">
        <v>0</v>
      </c>
      <c r="M13" s="2">
        <f>SUM(C13:L13)</f>
        <v>484000</v>
      </c>
      <c r="N13" s="81"/>
      <c r="O13" s="555">
        <f>'Fund Cover Sheets'!G157</f>
        <v>484000</v>
      </c>
      <c r="P13" s="678">
        <f t="shared" ref="P13:P19" si="0">M13-O13</f>
        <v>0</v>
      </c>
      <c r="Q13" s="556"/>
      <c r="R13" s="556"/>
      <c r="S13" s="556"/>
      <c r="T13" s="556"/>
      <c r="U13" s="556"/>
    </row>
    <row r="14" spans="1:21" ht="24" customHeight="1">
      <c r="A14" s="72"/>
      <c r="B14" s="69" t="s">
        <v>897</v>
      </c>
      <c r="C14" s="73">
        <v>0</v>
      </c>
      <c r="D14" s="19">
        <v>0</v>
      </c>
      <c r="E14" s="73">
        <v>0</v>
      </c>
      <c r="F14" s="73">
        <v>0</v>
      </c>
      <c r="G14" s="19">
        <f>'Fund Cover Sheets'!G595</f>
        <v>325000</v>
      </c>
      <c r="H14" s="19">
        <f>'Fund Cover Sheets'!G596</f>
        <v>400</v>
      </c>
      <c r="I14" s="19">
        <f>'Fund Cover Sheets'!G597</f>
        <v>0</v>
      </c>
      <c r="J14" s="19">
        <f>'Fund Cover Sheets'!G598</f>
        <v>181000</v>
      </c>
      <c r="K14" s="19">
        <v>0</v>
      </c>
      <c r="L14" s="19">
        <f>'Fund Cover Sheets'!G599</f>
        <v>1076831</v>
      </c>
      <c r="M14" s="2">
        <f t="shared" ref="M14:M19" si="1">SUM(C14:L14)</f>
        <v>1583231</v>
      </c>
      <c r="N14" s="81"/>
      <c r="O14" s="555">
        <f>'Fund Cover Sheets'!G600</f>
        <v>1583231</v>
      </c>
      <c r="P14" s="678">
        <f t="shared" si="0"/>
        <v>0</v>
      </c>
      <c r="Q14" s="556"/>
      <c r="R14" s="556"/>
      <c r="S14" s="556"/>
      <c r="T14" s="556"/>
      <c r="U14" s="556"/>
    </row>
    <row r="15" spans="1:21" ht="24" customHeight="1">
      <c r="A15" s="72"/>
      <c r="B15" s="69" t="s">
        <v>681</v>
      </c>
      <c r="C15" s="73">
        <v>0</v>
      </c>
      <c r="D15" s="73">
        <f>'Fund Cover Sheets'!G545</f>
        <v>400000</v>
      </c>
      <c r="E15" s="73">
        <v>0</v>
      </c>
      <c r="F15" s="73">
        <v>0</v>
      </c>
      <c r="G15" s="73">
        <v>0</v>
      </c>
      <c r="H15" s="73">
        <v>0</v>
      </c>
      <c r="I15" s="73">
        <v>0</v>
      </c>
      <c r="J15" s="73">
        <v>0</v>
      </c>
      <c r="K15" s="73">
        <f>'Fund Cover Sheets'!G548</f>
        <v>30500</v>
      </c>
      <c r="L15" s="3">
        <f>'Fund Cover Sheets'!G550</f>
        <v>0</v>
      </c>
      <c r="M15" s="2">
        <f>SUM(C15:L15)</f>
        <v>430500</v>
      </c>
      <c r="N15" s="81"/>
      <c r="O15" s="555">
        <f>'Fund Cover Sheets'!G551</f>
        <v>430500</v>
      </c>
      <c r="P15" s="678">
        <f t="shared" si="0"/>
        <v>0</v>
      </c>
      <c r="Q15" s="556"/>
      <c r="R15" s="556"/>
      <c r="S15" s="556"/>
      <c r="T15" s="556"/>
      <c r="U15" s="556"/>
    </row>
    <row r="16" spans="1:21" ht="24" customHeight="1">
      <c r="A16" s="72"/>
      <c r="B16" s="69" t="s">
        <v>588</v>
      </c>
      <c r="C16" s="73">
        <f>'Fund Cover Sheets'!G846</f>
        <v>100000</v>
      </c>
      <c r="D16" s="73">
        <v>0</v>
      </c>
      <c r="E16" s="73">
        <v>0</v>
      </c>
      <c r="F16" s="73">
        <v>0</v>
      </c>
      <c r="G16" s="73">
        <v>0</v>
      </c>
      <c r="H16" s="73">
        <f>'Fund Cover Sheets'!G847</f>
        <v>0</v>
      </c>
      <c r="I16" s="73">
        <v>0</v>
      </c>
      <c r="J16" s="3">
        <v>0</v>
      </c>
      <c r="K16" s="3">
        <v>0</v>
      </c>
      <c r="L16" s="3">
        <v>0</v>
      </c>
      <c r="M16" s="2">
        <f>SUM(C16:L16)</f>
        <v>100000</v>
      </c>
      <c r="N16" s="81"/>
      <c r="O16" s="555">
        <f>'Fund Cover Sheets'!G849</f>
        <v>100000</v>
      </c>
      <c r="P16" s="678">
        <f t="shared" si="0"/>
        <v>0</v>
      </c>
      <c r="Q16" s="556"/>
      <c r="R16" s="556"/>
      <c r="S16" s="556"/>
      <c r="T16" s="556"/>
      <c r="U16" s="556"/>
    </row>
    <row r="17" spans="1:21" ht="24" customHeight="1">
      <c r="A17" s="72"/>
      <c r="B17" s="69" t="s">
        <v>593</v>
      </c>
      <c r="C17" s="2">
        <f>'Fund Cover Sheets'!G893</f>
        <v>65000</v>
      </c>
      <c r="D17" s="3">
        <v>0</v>
      </c>
      <c r="E17" s="3">
        <v>0</v>
      </c>
      <c r="F17" s="3">
        <v>0</v>
      </c>
      <c r="G17" s="3">
        <v>0</v>
      </c>
      <c r="H17" s="3">
        <f>'Fund Cover Sheets'!G894</f>
        <v>50</v>
      </c>
      <c r="I17" s="3">
        <v>0</v>
      </c>
      <c r="J17" s="3">
        <v>0</v>
      </c>
      <c r="K17" s="3">
        <v>0</v>
      </c>
      <c r="L17" s="3">
        <v>0</v>
      </c>
      <c r="M17" s="2">
        <f t="shared" si="1"/>
        <v>65050</v>
      </c>
      <c r="N17" s="81"/>
      <c r="O17" s="555">
        <f>'Fund Cover Sheets'!G897</f>
        <v>65050</v>
      </c>
      <c r="P17" s="678">
        <f t="shared" si="0"/>
        <v>0</v>
      </c>
      <c r="Q17" s="556"/>
      <c r="R17" s="556"/>
      <c r="S17" s="556"/>
      <c r="T17" s="556"/>
      <c r="U17" s="556"/>
    </row>
    <row r="18" spans="1:21" ht="24" customHeight="1">
      <c r="A18" s="72"/>
      <c r="B18" s="69" t="s">
        <v>898</v>
      </c>
      <c r="C18" s="2">
        <f>'Fund Cover Sheets'!G66</f>
        <v>7073</v>
      </c>
      <c r="D18" s="2">
        <v>0</v>
      </c>
      <c r="E18" s="2">
        <v>0</v>
      </c>
      <c r="F18" s="2">
        <v>0</v>
      </c>
      <c r="G18" s="2">
        <v>0</v>
      </c>
      <c r="H18" s="2">
        <v>0</v>
      </c>
      <c r="I18" s="3">
        <v>0</v>
      </c>
      <c r="J18" s="3">
        <v>0</v>
      </c>
      <c r="K18" s="3">
        <v>0</v>
      </c>
      <c r="L18" s="3">
        <v>0</v>
      </c>
      <c r="M18" s="2">
        <f>SUM(C18:L18)</f>
        <v>7073</v>
      </c>
      <c r="N18" s="82"/>
      <c r="O18" s="555">
        <f>'Fund Cover Sheets'!G68</f>
        <v>7073</v>
      </c>
      <c r="P18" s="678">
        <f t="shared" si="0"/>
        <v>0</v>
      </c>
      <c r="Q18" s="556"/>
      <c r="R18" s="556"/>
      <c r="S18" s="556"/>
      <c r="T18" s="556"/>
      <c r="U18" s="556"/>
    </row>
    <row r="19" spans="1:21" ht="24" customHeight="1">
      <c r="A19" s="72"/>
      <c r="B19" s="69" t="s">
        <v>899</v>
      </c>
      <c r="C19" s="3">
        <f>'Fund Cover Sheets'!G110</f>
        <v>18608</v>
      </c>
      <c r="D19" s="3">
        <v>0</v>
      </c>
      <c r="E19" s="3">
        <v>0</v>
      </c>
      <c r="F19" s="3">
        <v>0</v>
      </c>
      <c r="G19" s="3">
        <v>0</v>
      </c>
      <c r="H19" s="3">
        <f>'Fund Cover Sheets'!G111</f>
        <v>0</v>
      </c>
      <c r="I19" s="3">
        <v>0</v>
      </c>
      <c r="J19" s="73">
        <v>0</v>
      </c>
      <c r="K19" s="73">
        <v>0</v>
      </c>
      <c r="L19" s="3">
        <v>0</v>
      </c>
      <c r="M19" s="2">
        <f t="shared" si="1"/>
        <v>18608</v>
      </c>
      <c r="N19" s="82"/>
      <c r="O19" s="555">
        <f>'Fund Cover Sheets'!G112</f>
        <v>18608</v>
      </c>
      <c r="P19" s="678">
        <f t="shared" si="0"/>
        <v>0</v>
      </c>
      <c r="Q19" s="556"/>
      <c r="R19" s="556"/>
      <c r="S19" s="556"/>
      <c r="T19" s="556"/>
      <c r="U19" s="556"/>
    </row>
    <row r="20" spans="1:21">
      <c r="A20" s="72"/>
      <c r="B20" s="69"/>
      <c r="C20" s="3"/>
      <c r="D20" s="3"/>
      <c r="E20" s="3"/>
      <c r="F20" s="3"/>
      <c r="G20" s="3"/>
      <c r="H20" s="3"/>
      <c r="I20" s="3"/>
      <c r="J20" s="73"/>
      <c r="K20" s="73"/>
      <c r="L20" s="3"/>
      <c r="M20" s="2"/>
      <c r="N20" s="82"/>
      <c r="O20" s="555"/>
      <c r="P20" s="678"/>
      <c r="Q20" s="556"/>
      <c r="R20" s="556"/>
      <c r="S20" s="556"/>
      <c r="T20" s="556"/>
      <c r="U20" s="556"/>
    </row>
    <row r="21" spans="1:21" ht="24" customHeight="1">
      <c r="A21" s="71" t="s">
        <v>900</v>
      </c>
      <c r="B21" s="64"/>
      <c r="C21" s="2">
        <f>'Fund Cover Sheets'!G387</f>
        <v>165527</v>
      </c>
      <c r="D21" s="3">
        <v>0</v>
      </c>
      <c r="E21" s="3">
        <f>'Fund Cover Sheets'!G388</f>
        <v>4500</v>
      </c>
      <c r="F21" s="3">
        <v>0</v>
      </c>
      <c r="G21" s="3">
        <v>0</v>
      </c>
      <c r="H21" s="3">
        <f>'Fund Cover Sheets'!G389</f>
        <v>0</v>
      </c>
      <c r="I21" s="3">
        <v>0</v>
      </c>
      <c r="J21" s="3">
        <v>0</v>
      </c>
      <c r="K21" s="3">
        <v>0</v>
      </c>
      <c r="L21" s="3">
        <f>'Fund Cover Sheets'!G390</f>
        <v>132103</v>
      </c>
      <c r="M21" s="2">
        <f>SUM(C21:L21)</f>
        <v>302130</v>
      </c>
      <c r="N21" s="82"/>
      <c r="O21" s="555">
        <f>'Fund Cover Sheets'!G391</f>
        <v>302130</v>
      </c>
      <c r="P21" s="678">
        <f>M21-O21</f>
        <v>0</v>
      </c>
      <c r="Q21" s="556"/>
      <c r="R21" s="556"/>
      <c r="S21" s="556"/>
      <c r="T21" s="556"/>
      <c r="U21" s="556"/>
    </row>
    <row r="22" spans="1:21" ht="15" customHeight="1">
      <c r="A22" s="71"/>
      <c r="B22" s="64"/>
      <c r="C22" s="2"/>
      <c r="D22" s="3"/>
      <c r="E22" s="3"/>
      <c r="F22" s="3"/>
      <c r="G22" s="3"/>
      <c r="H22" s="3"/>
      <c r="I22" s="3"/>
      <c r="J22" s="3"/>
      <c r="K22" s="3"/>
      <c r="L22" s="3"/>
      <c r="M22" s="2"/>
      <c r="N22" s="82"/>
      <c r="O22" s="555"/>
      <c r="P22" s="678"/>
      <c r="Q22" s="556"/>
      <c r="R22" s="556"/>
      <c r="S22" s="556"/>
      <c r="T22" s="556"/>
      <c r="U22" s="556"/>
    </row>
    <row r="23" spans="1:21" ht="24" customHeight="1">
      <c r="A23" s="71" t="s">
        <v>901</v>
      </c>
      <c r="B23" s="64"/>
      <c r="C23" s="73"/>
      <c r="D23" s="73"/>
      <c r="E23" s="73"/>
      <c r="F23" s="73"/>
      <c r="G23" s="73"/>
      <c r="H23" s="73"/>
      <c r="I23" s="73"/>
      <c r="J23" s="73"/>
      <c r="K23" s="73"/>
      <c r="L23" s="73"/>
      <c r="M23" s="2"/>
      <c r="N23" s="81"/>
      <c r="O23" s="555"/>
      <c r="P23" s="678"/>
      <c r="Q23" s="556"/>
      <c r="R23" s="556"/>
      <c r="S23" s="556"/>
      <c r="T23" s="556"/>
      <c r="U23" s="556"/>
    </row>
    <row r="24" spans="1:21" ht="24" customHeight="1">
      <c r="A24" s="72"/>
      <c r="B24" s="69" t="s">
        <v>1038</v>
      </c>
      <c r="C24" s="73">
        <v>0</v>
      </c>
      <c r="D24" s="3">
        <v>0</v>
      </c>
      <c r="E24" s="3">
        <f>'Fund Cover Sheets'!G305</f>
        <v>49275</v>
      </c>
      <c r="F24" s="3">
        <f>'Fund Cover Sheets'!G306</f>
        <v>12750</v>
      </c>
      <c r="G24" s="3">
        <f>'Fund Cover Sheets'!G307</f>
        <v>373063</v>
      </c>
      <c r="H24" s="3">
        <f>'Fund Cover Sheets'!G308</f>
        <v>250</v>
      </c>
      <c r="I24" s="19">
        <f>'Fund Cover Sheets'!G309</f>
        <v>0</v>
      </c>
      <c r="J24" s="3">
        <f>'Fund Cover Sheets'!G310</f>
        <v>1000</v>
      </c>
      <c r="K24" s="3">
        <v>0</v>
      </c>
      <c r="L24" s="3">
        <f>'Fund Cover Sheets'!G311</f>
        <v>36000</v>
      </c>
      <c r="M24" s="2">
        <f>SUM(C24:L24)</f>
        <v>472338</v>
      </c>
      <c r="N24" s="81"/>
      <c r="O24" s="555">
        <f>'Fund Cover Sheets'!G312</f>
        <v>472338</v>
      </c>
      <c r="P24" s="678">
        <f t="shared" ref="P24:P25" si="2">M24-O24</f>
        <v>0</v>
      </c>
      <c r="Q24" s="556"/>
      <c r="R24" s="556"/>
      <c r="S24" s="556"/>
      <c r="T24" s="556"/>
      <c r="U24" s="556"/>
    </row>
    <row r="25" spans="1:21" ht="24" customHeight="1">
      <c r="A25" s="72"/>
      <c r="B25" s="69" t="s">
        <v>904</v>
      </c>
      <c r="C25" s="3">
        <v>0</v>
      </c>
      <c r="D25" s="3">
        <f>'Fund Cover Sheets'!G243</f>
        <v>776938</v>
      </c>
      <c r="E25" s="6">
        <f>'Fund Cover Sheets'!G244</f>
        <v>17500</v>
      </c>
      <c r="F25" s="3">
        <v>0</v>
      </c>
      <c r="G25" s="73">
        <f>'Fund Cover Sheets'!G245</f>
        <v>680000</v>
      </c>
      <c r="H25" s="73">
        <f>'Fund Cover Sheets'!G246</f>
        <v>1000</v>
      </c>
      <c r="I25" s="73">
        <f>'Fund Cover Sheets'!G247</f>
        <v>67700</v>
      </c>
      <c r="J25" s="3">
        <v>0</v>
      </c>
      <c r="K25" s="3">
        <v>0</v>
      </c>
      <c r="L25" s="3">
        <f>'Fund Cover Sheets'!G248</f>
        <v>214184</v>
      </c>
      <c r="M25" s="2">
        <f>SUM(C25:L25)</f>
        <v>1757322</v>
      </c>
      <c r="N25" s="81"/>
      <c r="O25" s="555">
        <f>'Fund Cover Sheets'!G249</f>
        <v>1757322</v>
      </c>
      <c r="P25" s="678">
        <f t="shared" si="2"/>
        <v>0</v>
      </c>
      <c r="Q25" s="556"/>
      <c r="R25" s="556"/>
      <c r="S25" s="556"/>
      <c r="T25" s="556"/>
      <c r="U25" s="556"/>
    </row>
    <row r="26" spans="1:21">
      <c r="A26" s="72"/>
      <c r="B26" s="69"/>
      <c r="C26" s="3"/>
      <c r="D26" s="3"/>
      <c r="E26" s="6"/>
      <c r="F26" s="3"/>
      <c r="G26" s="73"/>
      <c r="H26" s="73"/>
      <c r="I26" s="73"/>
      <c r="J26" s="3"/>
      <c r="K26" s="3"/>
      <c r="L26" s="3"/>
      <c r="M26" s="2"/>
      <c r="N26" s="81"/>
      <c r="O26" s="555"/>
      <c r="P26" s="678"/>
      <c r="Q26" s="556"/>
      <c r="R26" s="556"/>
      <c r="S26" s="556"/>
      <c r="T26" s="556"/>
      <c r="U26" s="556"/>
    </row>
    <row r="27" spans="1:21" ht="24" customHeight="1">
      <c r="A27" s="71" t="s">
        <v>905</v>
      </c>
      <c r="B27" s="69"/>
      <c r="C27" s="2"/>
      <c r="D27" s="73"/>
      <c r="E27" s="73"/>
      <c r="F27" s="73"/>
      <c r="G27" s="73"/>
      <c r="H27" s="73"/>
      <c r="I27" s="73"/>
      <c r="J27" s="73"/>
      <c r="K27" s="73"/>
      <c r="L27" s="3"/>
      <c r="M27" s="3"/>
      <c r="N27" s="81"/>
      <c r="O27" s="555"/>
      <c r="P27" s="678"/>
      <c r="Q27" s="556"/>
      <c r="R27" s="556"/>
      <c r="S27" s="556"/>
      <c r="T27" s="556"/>
      <c r="U27" s="556"/>
    </row>
    <row r="28" spans="1:21" ht="24" customHeight="1">
      <c r="B28" s="69" t="s">
        <v>679</v>
      </c>
      <c r="C28" s="73">
        <f>'Fund Cover Sheets'!G433</f>
        <v>0</v>
      </c>
      <c r="D28" s="73">
        <v>0</v>
      </c>
      <c r="E28" s="73">
        <v>0</v>
      </c>
      <c r="F28" s="73">
        <v>0</v>
      </c>
      <c r="G28" s="2">
        <f>'Fund Cover Sheets'!G435</f>
        <v>3240437</v>
      </c>
      <c r="H28" s="2">
        <f>'Fund Cover Sheets'!G436</f>
        <v>500</v>
      </c>
      <c r="I28" s="2">
        <f>'Fund Cover Sheets'!G437</f>
        <v>0</v>
      </c>
      <c r="J28" s="73">
        <f>'Fund Cover Sheets'!G438</f>
        <v>56307</v>
      </c>
      <c r="K28" s="73">
        <v>0</v>
      </c>
      <c r="L28" s="3">
        <f>'Fund Cover Sheets'!G439</f>
        <v>4376275</v>
      </c>
      <c r="M28" s="2">
        <f>SUM(C28:L28)</f>
        <v>7673519</v>
      </c>
      <c r="N28" s="81"/>
      <c r="O28" s="555">
        <f>'Fund Cover Sheets'!G440</f>
        <v>7673519</v>
      </c>
      <c r="P28" s="678">
        <f t="shared" ref="P28:P29" si="3">M28-O28</f>
        <v>0</v>
      </c>
      <c r="Q28" s="556"/>
      <c r="R28" s="556"/>
      <c r="S28" s="556"/>
      <c r="T28" s="556"/>
      <c r="U28" s="556"/>
    </row>
    <row r="29" spans="1:21" ht="24" customHeight="1">
      <c r="B29" s="69" t="s">
        <v>680</v>
      </c>
      <c r="C29" s="73">
        <f>'Fund Cover Sheets'!G488</f>
        <v>0</v>
      </c>
      <c r="D29" s="73">
        <v>0</v>
      </c>
      <c r="E29" s="73">
        <v>0</v>
      </c>
      <c r="F29" s="73">
        <v>0</v>
      </c>
      <c r="G29" s="73">
        <f>'Fund Cover Sheets'!G490</f>
        <v>1180200</v>
      </c>
      <c r="H29" s="73">
        <f>'Fund Cover Sheets'!G491</f>
        <v>1500</v>
      </c>
      <c r="I29" s="73">
        <f>'Fund Cover Sheets'!G492</f>
        <v>200000</v>
      </c>
      <c r="J29" s="73">
        <v>0</v>
      </c>
      <c r="K29" s="73">
        <v>0</v>
      </c>
      <c r="L29" s="3">
        <f>'Fund Cover Sheets'!G493</f>
        <v>1134654</v>
      </c>
      <c r="M29" s="2">
        <f>SUM(C29:L29)</f>
        <v>2516354</v>
      </c>
      <c r="N29" s="81"/>
      <c r="O29" s="555">
        <f>'Fund Cover Sheets'!G494</f>
        <v>2516354</v>
      </c>
      <c r="P29" s="678">
        <f t="shared" si="3"/>
        <v>0</v>
      </c>
      <c r="Q29" s="556"/>
      <c r="R29" s="556"/>
      <c r="S29" s="556"/>
      <c r="T29" s="556"/>
      <c r="U29" s="556"/>
    </row>
    <row r="30" spans="1:21" ht="15" customHeight="1">
      <c r="B30" s="69"/>
      <c r="C30" s="73"/>
      <c r="D30" s="73"/>
      <c r="E30" s="73"/>
      <c r="F30" s="73"/>
      <c r="G30" s="73"/>
      <c r="H30" s="73"/>
      <c r="I30" s="73"/>
      <c r="J30" s="73"/>
      <c r="K30" s="73"/>
      <c r="L30" s="3"/>
      <c r="M30" s="2"/>
      <c r="N30" s="81"/>
      <c r="O30" s="555"/>
      <c r="P30" s="678"/>
      <c r="Q30" s="556"/>
      <c r="R30" s="556"/>
      <c r="S30" s="556"/>
      <c r="T30" s="556"/>
      <c r="U30" s="556"/>
    </row>
    <row r="31" spans="1:21" ht="24" customHeight="1">
      <c r="A31" s="71" t="s">
        <v>906</v>
      </c>
      <c r="B31" s="69"/>
      <c r="C31" s="73"/>
      <c r="D31" s="73"/>
      <c r="E31" s="73"/>
      <c r="F31" s="73"/>
      <c r="G31" s="73"/>
      <c r="H31" s="73"/>
      <c r="I31" s="73"/>
      <c r="J31" s="73"/>
      <c r="K31" s="73"/>
      <c r="L31" s="73"/>
      <c r="M31" s="2"/>
      <c r="N31" s="81"/>
      <c r="O31" s="555"/>
      <c r="P31" s="678"/>
      <c r="Q31" s="556"/>
      <c r="R31" s="556"/>
      <c r="S31" s="556"/>
      <c r="T31" s="556"/>
      <c r="U31" s="556"/>
    </row>
    <row r="32" spans="1:21" ht="24" customHeight="1">
      <c r="A32" s="71"/>
      <c r="B32" s="69" t="s">
        <v>670</v>
      </c>
      <c r="C32" s="73">
        <f>'Fund Cover Sheets'!G698</f>
        <v>635000</v>
      </c>
      <c r="D32" s="73">
        <f>'Fund Cover Sheets'!G699</f>
        <v>22450</v>
      </c>
      <c r="E32" s="73">
        <v>0</v>
      </c>
      <c r="F32" s="73">
        <f>'Fund Cover Sheets'!G700</f>
        <v>9300</v>
      </c>
      <c r="G32" s="73">
        <f>'Fund Cover Sheets'!G701</f>
        <v>11500</v>
      </c>
      <c r="H32" s="73">
        <f>'Fund Cover Sheets'!G702</f>
        <v>1500</v>
      </c>
      <c r="I32" s="73">
        <f>'Fund Cover Sheets'!G703</f>
        <v>0</v>
      </c>
      <c r="J32" s="73">
        <f>'Fund Cover Sheets'!G704</f>
        <v>7500</v>
      </c>
      <c r="K32" s="73">
        <v>0</v>
      </c>
      <c r="L32" s="73">
        <f>'Fund Cover Sheets'!G705</f>
        <v>34168</v>
      </c>
      <c r="M32" s="2">
        <f>SUM(C32:L32)</f>
        <v>721418</v>
      </c>
      <c r="N32" s="81"/>
      <c r="O32" s="555">
        <f>'Fund Cover Sheets'!G706</f>
        <v>721418</v>
      </c>
      <c r="P32" s="678">
        <f t="shared" ref="P32:P34" si="4">M32-O32</f>
        <v>0</v>
      </c>
      <c r="Q32" s="556"/>
      <c r="R32" s="556"/>
      <c r="S32" s="556"/>
      <c r="T32" s="556"/>
      <c r="U32" s="556"/>
    </row>
    <row r="33" spans="1:21" ht="24" customHeight="1">
      <c r="A33" s="71"/>
      <c r="B33" s="69" t="s">
        <v>586</v>
      </c>
      <c r="C33" s="73">
        <f>'Fund Cover Sheets'!G754</f>
        <v>749846</v>
      </c>
      <c r="D33" s="73">
        <v>0</v>
      </c>
      <c r="E33" s="73">
        <v>0</v>
      </c>
      <c r="F33" s="73">
        <v>0</v>
      </c>
      <c r="G33" s="73">
        <v>0</v>
      </c>
      <c r="H33" s="73">
        <f>'Fund Cover Sheets'!G755</f>
        <v>30</v>
      </c>
      <c r="I33" s="73">
        <v>0</v>
      </c>
      <c r="J33" s="73">
        <v>0</v>
      </c>
      <c r="K33" s="73">
        <v>0</v>
      </c>
      <c r="L33" s="73">
        <f>'Fund Cover Sheets'!G756</f>
        <v>0</v>
      </c>
      <c r="M33" s="2">
        <f>SUM(C33:L33)</f>
        <v>749876</v>
      </c>
      <c r="N33" s="81"/>
      <c r="O33" s="555">
        <f>'Fund Cover Sheets'!G757</f>
        <v>749876</v>
      </c>
      <c r="P33" s="678">
        <f t="shared" si="4"/>
        <v>0</v>
      </c>
      <c r="Q33" s="556"/>
      <c r="R33" s="556"/>
      <c r="S33" s="556"/>
      <c r="T33" s="556"/>
      <c r="U33" s="556"/>
    </row>
    <row r="34" spans="1:21" ht="24" customHeight="1">
      <c r="A34" s="71"/>
      <c r="B34" s="69" t="s">
        <v>907</v>
      </c>
      <c r="C34" s="73">
        <v>0</v>
      </c>
      <c r="D34" s="73">
        <v>0</v>
      </c>
      <c r="E34" s="73">
        <f>'Fund Cover Sheets'!G800</f>
        <v>20000</v>
      </c>
      <c r="F34" s="73">
        <v>0</v>
      </c>
      <c r="G34" s="73">
        <v>0</v>
      </c>
      <c r="H34" s="73">
        <f>'Fund Cover Sheets'!G801</f>
        <v>20</v>
      </c>
      <c r="I34" s="73">
        <v>0</v>
      </c>
      <c r="J34" s="73">
        <v>0</v>
      </c>
      <c r="K34" s="73">
        <v>0</v>
      </c>
      <c r="L34" s="73">
        <v>0</v>
      </c>
      <c r="M34" s="2">
        <f>SUM(C34:L34)</f>
        <v>20020</v>
      </c>
      <c r="N34" s="81"/>
      <c r="O34" s="555">
        <f>'Fund Cover Sheets'!G802</f>
        <v>20020</v>
      </c>
      <c r="P34" s="678">
        <f t="shared" si="4"/>
        <v>0</v>
      </c>
      <c r="Q34" s="556"/>
      <c r="R34" s="556"/>
      <c r="S34" s="556"/>
      <c r="T34" s="556"/>
      <c r="U34" s="556"/>
    </row>
    <row r="35" spans="1:21" ht="15" customHeight="1">
      <c r="A35" s="71"/>
      <c r="B35" s="69"/>
      <c r="C35" s="73"/>
      <c r="D35" s="73"/>
      <c r="E35" s="73"/>
      <c r="F35" s="73"/>
      <c r="G35" s="73"/>
      <c r="H35" s="73"/>
      <c r="I35" s="73"/>
      <c r="J35" s="73"/>
      <c r="K35" s="73"/>
      <c r="L35" s="73"/>
      <c r="M35" s="2"/>
      <c r="N35" s="81"/>
      <c r="O35" s="559" t="s">
        <v>1143</v>
      </c>
      <c r="P35" s="679" t="s">
        <v>1139</v>
      </c>
      <c r="Q35" s="556"/>
      <c r="R35" s="556"/>
      <c r="S35" s="554" t="s">
        <v>1146</v>
      </c>
      <c r="T35" s="554"/>
      <c r="U35" s="353" t="s">
        <v>1138</v>
      </c>
    </row>
    <row r="36" spans="1:21" ht="24" customHeight="1" thickBot="1">
      <c r="A36" s="7"/>
      <c r="B36" s="75" t="s">
        <v>965</v>
      </c>
      <c r="C36" s="83">
        <f t="shared" ref="C36:M36" si="5">SUM(C10:C35)</f>
        <v>11970991</v>
      </c>
      <c r="D36" s="83">
        <f t="shared" si="5"/>
        <v>3860988</v>
      </c>
      <c r="E36" s="83">
        <f t="shared" si="5"/>
        <v>289275</v>
      </c>
      <c r="F36" s="83">
        <f t="shared" si="5"/>
        <v>182300</v>
      </c>
      <c r="G36" s="83">
        <f t="shared" si="5"/>
        <v>7130150</v>
      </c>
      <c r="H36" s="83">
        <f t="shared" si="5"/>
        <v>9750</v>
      </c>
      <c r="I36" s="83">
        <f t="shared" si="5"/>
        <v>347700</v>
      </c>
      <c r="J36" s="83">
        <f t="shared" si="5"/>
        <v>268307</v>
      </c>
      <c r="K36" s="83">
        <f t="shared" si="5"/>
        <v>30500</v>
      </c>
      <c r="L36" s="83">
        <f t="shared" si="5"/>
        <v>7012115</v>
      </c>
      <c r="M36" s="83">
        <f t="shared" si="5"/>
        <v>31102076</v>
      </c>
      <c r="N36" s="725"/>
      <c r="O36" s="555">
        <f>SUM(C36:L36)</f>
        <v>31102076</v>
      </c>
      <c r="P36" s="678">
        <f>M36-O36</f>
        <v>0</v>
      </c>
      <c r="Q36" s="556"/>
      <c r="R36" s="556"/>
      <c r="S36" s="555">
        <f>'Budget Summary'!G37</f>
        <v>31102076</v>
      </c>
      <c r="T36" s="556"/>
      <c r="U36" s="677">
        <f>M36-S36</f>
        <v>0</v>
      </c>
    </row>
    <row r="37" spans="1:21" ht="15" customHeight="1" thickTop="1">
      <c r="C37" s="2"/>
      <c r="D37" s="2"/>
      <c r="E37" s="2"/>
      <c r="F37" s="2"/>
      <c r="G37" s="2"/>
      <c r="H37" s="2"/>
      <c r="I37" s="2"/>
      <c r="J37" s="2"/>
      <c r="K37" s="2"/>
      <c r="L37" s="2"/>
      <c r="N37" s="81"/>
      <c r="O37" s="678">
        <f>SUM(O10:O34)-O36</f>
        <v>0</v>
      </c>
      <c r="P37" s="680" t="s">
        <v>1142</v>
      </c>
      <c r="Q37" s="180"/>
      <c r="R37" s="180"/>
      <c r="S37" s="556"/>
      <c r="T37" s="556"/>
      <c r="U37" s="556"/>
    </row>
    <row r="38" spans="1:21" ht="15" customHeight="1">
      <c r="C38" s="84"/>
      <c r="D38" s="84"/>
      <c r="E38" s="84"/>
      <c r="F38" s="84"/>
      <c r="G38" s="84"/>
      <c r="H38" s="84"/>
      <c r="I38" s="84"/>
      <c r="J38" s="84"/>
      <c r="K38" s="84"/>
      <c r="L38" s="84"/>
      <c r="M38" s="84"/>
      <c r="N38" s="81"/>
      <c r="O38" s="2"/>
      <c r="P38" s="2"/>
    </row>
    <row r="39" spans="1:21" ht="24" customHeight="1">
      <c r="A39" s="728" t="s">
        <v>892</v>
      </c>
      <c r="B39" s="728"/>
      <c r="C39" s="728"/>
      <c r="D39" s="728"/>
      <c r="E39" s="728"/>
      <c r="F39" s="728"/>
      <c r="G39" s="728"/>
      <c r="H39" s="728"/>
      <c r="I39" s="728"/>
      <c r="J39" s="728"/>
      <c r="K39" s="503"/>
      <c r="L39" s="503"/>
      <c r="M39" s="2"/>
      <c r="N39" s="81"/>
      <c r="O39" s="2"/>
      <c r="P39" s="2"/>
    </row>
    <row r="40" spans="1:21" ht="24" customHeight="1">
      <c r="A40" s="729" t="s">
        <v>932</v>
      </c>
      <c r="B40" s="729"/>
      <c r="C40" s="729"/>
      <c r="D40" s="729"/>
      <c r="E40" s="729"/>
      <c r="F40" s="729"/>
      <c r="G40" s="729"/>
      <c r="H40" s="729"/>
      <c r="I40" s="729"/>
      <c r="J40" s="729"/>
      <c r="K40" s="504"/>
      <c r="L40" s="504"/>
    </row>
    <row r="41" spans="1:21" ht="24" customHeight="1">
      <c r="A41" s="728" t="s">
        <v>1340</v>
      </c>
      <c r="B41" s="728"/>
      <c r="C41" s="728"/>
      <c r="D41" s="728"/>
      <c r="E41" s="728"/>
      <c r="F41" s="728"/>
      <c r="G41" s="728"/>
      <c r="H41" s="728"/>
      <c r="I41" s="728"/>
      <c r="J41" s="728"/>
      <c r="K41" s="503"/>
      <c r="L41" s="503"/>
      <c r="M41" s="2"/>
      <c r="N41" s="81"/>
      <c r="O41" s="2"/>
      <c r="P41" s="2"/>
    </row>
    <row r="42" spans="1:21" ht="15" customHeight="1">
      <c r="M42" s="2"/>
      <c r="N42" s="81"/>
      <c r="O42" s="2"/>
      <c r="P42" s="2"/>
    </row>
    <row r="43" spans="1:21" ht="15" customHeight="1">
      <c r="J43" s="65" t="s">
        <v>911</v>
      </c>
      <c r="M43" s="2"/>
      <c r="N43" s="81"/>
      <c r="O43" s="2"/>
      <c r="P43" s="2"/>
    </row>
    <row r="44" spans="1:21" ht="15" customHeight="1">
      <c r="C44" s="65"/>
      <c r="D44" s="65"/>
      <c r="E44" s="65" t="s">
        <v>933</v>
      </c>
      <c r="F44" s="66"/>
      <c r="G44" s="65" t="s">
        <v>934</v>
      </c>
      <c r="H44" s="65" t="s">
        <v>1471</v>
      </c>
      <c r="I44" s="65" t="s">
        <v>935</v>
      </c>
      <c r="J44" s="66" t="s">
        <v>936</v>
      </c>
      <c r="K44" s="66" t="s">
        <v>921</v>
      </c>
      <c r="M44" s="2"/>
      <c r="N44" s="81"/>
      <c r="O44" s="557" t="s">
        <v>1141</v>
      </c>
      <c r="P44" s="180"/>
      <c r="Q44" s="556"/>
      <c r="R44" s="556"/>
      <c r="S44" s="556"/>
      <c r="T44" s="556"/>
      <c r="U44" s="556"/>
    </row>
    <row r="45" spans="1:21" ht="15" customHeight="1" thickBot="1">
      <c r="A45" s="67"/>
      <c r="B45" s="67" t="s">
        <v>894</v>
      </c>
      <c r="C45" s="79" t="s">
        <v>844</v>
      </c>
      <c r="D45" s="79" t="s">
        <v>845</v>
      </c>
      <c r="E45" s="68" t="s">
        <v>937</v>
      </c>
      <c r="F45" s="68" t="s">
        <v>847</v>
      </c>
      <c r="G45" s="68" t="s">
        <v>938</v>
      </c>
      <c r="H45" s="68" t="s">
        <v>1472</v>
      </c>
      <c r="I45" s="68" t="s">
        <v>939</v>
      </c>
      <c r="J45" s="68" t="s">
        <v>940</v>
      </c>
      <c r="K45" s="68" t="s">
        <v>931</v>
      </c>
      <c r="M45" s="2"/>
      <c r="N45" s="81"/>
      <c r="O45" s="557" t="s">
        <v>1140</v>
      </c>
      <c r="P45" s="353" t="s">
        <v>1138</v>
      </c>
      <c r="Q45" s="556"/>
      <c r="R45" s="556"/>
      <c r="S45" s="556"/>
      <c r="T45" s="556"/>
      <c r="U45" s="556"/>
    </row>
    <row r="46" spans="1:21" s="64" customFormat="1" ht="15" customHeight="1">
      <c r="A46" s="69"/>
      <c r="B46" s="69"/>
      <c r="C46" s="80"/>
      <c r="D46" s="80"/>
      <c r="E46" s="70"/>
      <c r="F46" s="70"/>
      <c r="G46" s="70"/>
      <c r="I46" s="70"/>
      <c r="J46" s="70"/>
      <c r="K46" s="70"/>
      <c r="M46" s="3"/>
      <c r="N46" s="82"/>
      <c r="O46" s="560"/>
      <c r="P46" s="171"/>
      <c r="Q46" s="561"/>
      <c r="R46" s="561"/>
      <c r="S46" s="561"/>
      <c r="T46" s="561"/>
      <c r="U46" s="561"/>
    </row>
    <row r="47" spans="1:21" ht="15" customHeight="1">
      <c r="M47" s="2"/>
      <c r="N47" s="81"/>
      <c r="O47" s="555"/>
      <c r="P47" s="678"/>
      <c r="Q47" s="556"/>
      <c r="R47" s="556"/>
      <c r="S47" s="556"/>
      <c r="T47" s="556"/>
      <c r="U47" s="556"/>
    </row>
    <row r="48" spans="1:21" ht="24" customHeight="1">
      <c r="A48" s="71" t="s">
        <v>895</v>
      </c>
      <c r="C48" s="3">
        <f>'Fund Cover Sheets'!G25</f>
        <v>4113253</v>
      </c>
      <c r="D48" s="3">
        <f>'Fund Cover Sheets'!G26</f>
        <v>2545610</v>
      </c>
      <c r="E48" s="3">
        <f>'Fund Cover Sheets'!G27</f>
        <v>4807155</v>
      </c>
      <c r="F48" s="3">
        <f>'Fund Cover Sheets'!G28</f>
        <v>284861</v>
      </c>
      <c r="G48" s="3">
        <v>0</v>
      </c>
      <c r="H48" s="2">
        <v>0</v>
      </c>
      <c r="I48" s="3">
        <v>0</v>
      </c>
      <c r="J48" s="3">
        <f>'Fund Cover Sheets'!G30</f>
        <v>2439756</v>
      </c>
      <c r="K48" s="3">
        <f>SUM(C48:J48)</f>
        <v>14190635</v>
      </c>
      <c r="M48" s="2"/>
      <c r="N48" s="81"/>
      <c r="O48" s="555">
        <f>'Fund Cover Sheets'!G31</f>
        <v>14190635</v>
      </c>
      <c r="P48" s="678">
        <f>K48-O48</f>
        <v>0</v>
      </c>
      <c r="Q48" s="556"/>
      <c r="R48" s="556"/>
      <c r="S48" s="556"/>
      <c r="T48" s="556"/>
      <c r="U48" s="556"/>
    </row>
    <row r="49" spans="1:21" ht="15" customHeight="1">
      <c r="A49" s="71"/>
      <c r="C49" s="3"/>
      <c r="D49" s="3"/>
      <c r="E49" s="3"/>
      <c r="F49" s="3"/>
      <c r="G49" s="3"/>
      <c r="H49" s="2"/>
      <c r="I49" s="3"/>
      <c r="J49" s="3"/>
      <c r="K49" s="3"/>
      <c r="M49" s="2"/>
      <c r="N49" s="81"/>
      <c r="O49" s="555"/>
      <c r="P49" s="678"/>
      <c r="Q49" s="556"/>
      <c r="R49" s="556"/>
      <c r="S49" s="556"/>
      <c r="T49" s="556"/>
      <c r="U49" s="556"/>
    </row>
    <row r="50" spans="1:21" ht="24" customHeight="1">
      <c r="A50" s="71" t="s">
        <v>896</v>
      </c>
      <c r="C50" s="73"/>
      <c r="D50" s="73"/>
      <c r="E50" s="73"/>
      <c r="F50" s="73"/>
      <c r="G50" s="73"/>
      <c r="H50" s="2"/>
      <c r="I50" s="73"/>
      <c r="J50" s="3"/>
      <c r="K50" s="3"/>
      <c r="M50" s="6"/>
      <c r="N50" s="85"/>
      <c r="O50" s="555"/>
      <c r="P50" s="180"/>
      <c r="Q50" s="556"/>
      <c r="R50" s="556"/>
      <c r="S50" s="556"/>
      <c r="T50" s="556"/>
      <c r="U50" s="556"/>
    </row>
    <row r="51" spans="1:21" ht="24" customHeight="1">
      <c r="A51" s="71"/>
      <c r="B51" s="1" t="s">
        <v>815</v>
      </c>
      <c r="C51" s="73">
        <v>0</v>
      </c>
      <c r="D51" s="73">
        <v>0</v>
      </c>
      <c r="E51" s="73">
        <f>'Fund Cover Sheets'!G162</f>
        <v>117210</v>
      </c>
      <c r="F51" s="73">
        <f>'Fund Cover Sheets'!G163</f>
        <v>203000</v>
      </c>
      <c r="G51" s="73">
        <f>'Fund Cover Sheets'!G164</f>
        <v>551287</v>
      </c>
      <c r="H51" s="2">
        <v>0</v>
      </c>
      <c r="I51" s="73">
        <v>0</v>
      </c>
      <c r="J51" s="3">
        <v>0</v>
      </c>
      <c r="K51" s="3">
        <f t="shared" ref="K51:K57" si="6">SUM(C51:J51)</f>
        <v>871497</v>
      </c>
      <c r="M51" s="6"/>
      <c r="N51" s="85"/>
      <c r="O51" s="555">
        <f>'Fund Cover Sheets'!G165</f>
        <v>871497</v>
      </c>
      <c r="P51" s="678">
        <f t="shared" ref="P51:P57" si="7">K51-O51</f>
        <v>0</v>
      </c>
      <c r="Q51" s="556"/>
      <c r="R51" s="556"/>
      <c r="S51" s="556"/>
      <c r="T51" s="556"/>
      <c r="U51" s="556"/>
    </row>
    <row r="52" spans="1:21" ht="24" customHeight="1">
      <c r="A52" s="72"/>
      <c r="B52" s="69" t="s">
        <v>897</v>
      </c>
      <c r="C52" s="73">
        <f>'Fund Cover Sheets'!G605</f>
        <v>863762</v>
      </c>
      <c r="D52" s="73">
        <f>'Fund Cover Sheets'!G606</f>
        <v>382912</v>
      </c>
      <c r="E52" s="2">
        <f>'Fund Cover Sheets'!G607</f>
        <v>234780</v>
      </c>
      <c r="F52" s="73">
        <f>'Fund Cover Sheets'!G608</f>
        <v>314486</v>
      </c>
      <c r="G52" s="73">
        <v>0</v>
      </c>
      <c r="H52" s="2">
        <v>0</v>
      </c>
      <c r="I52" s="73">
        <v>0</v>
      </c>
      <c r="J52" s="3">
        <f>'Fund Cover Sheets'!G609</f>
        <v>0</v>
      </c>
      <c r="K52" s="3">
        <f t="shared" si="6"/>
        <v>1795940</v>
      </c>
      <c r="M52" s="6"/>
      <c r="N52" s="85"/>
      <c r="O52" s="555">
        <f>'Fund Cover Sheets'!G610</f>
        <v>1795940</v>
      </c>
      <c r="P52" s="678">
        <f t="shared" si="7"/>
        <v>0</v>
      </c>
      <c r="Q52" s="556"/>
      <c r="R52" s="556"/>
      <c r="S52" s="556"/>
      <c r="T52" s="556"/>
      <c r="U52" s="556"/>
    </row>
    <row r="53" spans="1:21" ht="24" customHeight="1">
      <c r="A53" s="72"/>
      <c r="B53" s="69" t="s">
        <v>681</v>
      </c>
      <c r="C53" s="73">
        <v>0</v>
      </c>
      <c r="D53" s="73">
        <v>0</v>
      </c>
      <c r="E53" s="73">
        <v>0</v>
      </c>
      <c r="F53" s="73">
        <v>0</v>
      </c>
      <c r="G53" s="73">
        <f>'Fund Cover Sheets'!G557</f>
        <v>580832</v>
      </c>
      <c r="H53" s="2">
        <v>0</v>
      </c>
      <c r="I53" s="73">
        <v>0</v>
      </c>
      <c r="J53" s="3">
        <v>0</v>
      </c>
      <c r="K53" s="3">
        <f t="shared" si="6"/>
        <v>580832</v>
      </c>
      <c r="M53" s="6"/>
      <c r="N53" s="85"/>
      <c r="O53" s="555">
        <f>'Fund Cover Sheets'!G558</f>
        <v>580832</v>
      </c>
      <c r="P53" s="678">
        <f t="shared" si="7"/>
        <v>0</v>
      </c>
      <c r="Q53" s="556"/>
      <c r="R53" s="556"/>
      <c r="S53" s="556"/>
      <c r="T53" s="556"/>
      <c r="U53" s="556"/>
    </row>
    <row r="54" spans="1:21" ht="24" customHeight="1">
      <c r="A54" s="72"/>
      <c r="B54" s="69" t="s">
        <v>588</v>
      </c>
      <c r="C54" s="73">
        <v>0</v>
      </c>
      <c r="D54" s="73">
        <v>0</v>
      </c>
      <c r="E54" s="73">
        <f>'Fund Cover Sheets'!G854</f>
        <v>3140</v>
      </c>
      <c r="F54" s="73">
        <v>0</v>
      </c>
      <c r="G54" s="73">
        <v>0</v>
      </c>
      <c r="H54" s="2">
        <v>0</v>
      </c>
      <c r="I54" s="73">
        <f>'Fund Cover Sheets'!G855</f>
        <v>93431</v>
      </c>
      <c r="J54" s="3">
        <v>0</v>
      </c>
      <c r="K54" s="3">
        <f t="shared" si="6"/>
        <v>96571</v>
      </c>
      <c r="M54" s="6"/>
      <c r="N54" s="85"/>
      <c r="O54" s="555">
        <f>'Fund Cover Sheets'!G858</f>
        <v>96571</v>
      </c>
      <c r="P54" s="678">
        <f t="shared" si="7"/>
        <v>0</v>
      </c>
      <c r="Q54" s="556"/>
      <c r="R54" s="556"/>
      <c r="S54" s="556"/>
      <c r="T54" s="556"/>
      <c r="U54" s="556"/>
    </row>
    <row r="55" spans="1:21" ht="24" customHeight="1">
      <c r="A55" s="72"/>
      <c r="B55" s="69" t="s">
        <v>593</v>
      </c>
      <c r="C55" s="2">
        <v>0</v>
      </c>
      <c r="D55" s="73">
        <v>0</v>
      </c>
      <c r="E55" s="2">
        <f>'Fund Cover Sheets'!G902</f>
        <v>27860</v>
      </c>
      <c r="F55" s="73">
        <v>0</v>
      </c>
      <c r="G55" s="73">
        <f>'Fund Cover Sheets'!G903</f>
        <v>328170</v>
      </c>
      <c r="H55" s="2">
        <v>0</v>
      </c>
      <c r="I55" s="73">
        <v>0</v>
      </c>
      <c r="J55" s="3">
        <v>0</v>
      </c>
      <c r="K55" s="3">
        <f t="shared" si="6"/>
        <v>356030</v>
      </c>
      <c r="M55" s="6"/>
      <c r="N55" s="85"/>
      <c r="O55" s="555">
        <f>'Fund Cover Sheets'!G905</f>
        <v>356030</v>
      </c>
      <c r="P55" s="678">
        <f t="shared" si="7"/>
        <v>0</v>
      </c>
      <c r="Q55" s="556"/>
      <c r="R55" s="556"/>
      <c r="S55" s="556"/>
      <c r="T55" s="556"/>
      <c r="U55" s="556"/>
    </row>
    <row r="56" spans="1:21" ht="24" customHeight="1">
      <c r="A56" s="72"/>
      <c r="B56" s="69" t="s">
        <v>898</v>
      </c>
      <c r="C56" s="3">
        <v>0</v>
      </c>
      <c r="D56" s="3">
        <v>0</v>
      </c>
      <c r="E56" s="3">
        <f>'Fund Cover Sheets'!G73</f>
        <v>29833</v>
      </c>
      <c r="F56" s="3">
        <v>0</v>
      </c>
      <c r="G56" s="3">
        <v>0</v>
      </c>
      <c r="H56" s="2">
        <v>0</v>
      </c>
      <c r="I56" s="3">
        <v>0</v>
      </c>
      <c r="J56" s="3">
        <v>0</v>
      </c>
      <c r="K56" s="3">
        <f t="shared" si="6"/>
        <v>29833</v>
      </c>
      <c r="M56" s="6"/>
      <c r="N56" s="85"/>
      <c r="O56" s="555">
        <f>'Fund Cover Sheets'!G73</f>
        <v>29833</v>
      </c>
      <c r="P56" s="678">
        <f t="shared" si="7"/>
        <v>0</v>
      </c>
      <c r="Q56" s="556"/>
      <c r="R56" s="556"/>
      <c r="S56" s="556"/>
      <c r="T56" s="556"/>
      <c r="U56" s="556"/>
    </row>
    <row r="57" spans="1:21" ht="24" customHeight="1">
      <c r="A57" s="72"/>
      <c r="B57" s="69" t="s">
        <v>899</v>
      </c>
      <c r="C57" s="3">
        <v>0</v>
      </c>
      <c r="D57" s="3">
        <v>0</v>
      </c>
      <c r="E57" s="3">
        <f>'Fund Cover Sheets'!G117</f>
        <v>37594</v>
      </c>
      <c r="F57" s="3">
        <v>0</v>
      </c>
      <c r="G57" s="3">
        <v>0</v>
      </c>
      <c r="H57" s="2">
        <v>0</v>
      </c>
      <c r="I57" s="73">
        <v>0</v>
      </c>
      <c r="J57" s="2">
        <v>0</v>
      </c>
      <c r="K57" s="3">
        <f t="shared" si="6"/>
        <v>37594</v>
      </c>
      <c r="M57" s="6"/>
      <c r="N57" s="85"/>
      <c r="O57" s="555">
        <f>'Fund Cover Sheets'!G117</f>
        <v>37594</v>
      </c>
      <c r="P57" s="678">
        <f t="shared" si="7"/>
        <v>0</v>
      </c>
      <c r="Q57" s="556"/>
      <c r="R57" s="556"/>
      <c r="S57" s="556"/>
      <c r="T57" s="556"/>
      <c r="U57" s="556"/>
    </row>
    <row r="58" spans="1:21">
      <c r="A58" s="72"/>
      <c r="B58" s="69"/>
      <c r="C58" s="3"/>
      <c r="D58" s="3"/>
      <c r="E58" s="3"/>
      <c r="F58" s="3"/>
      <c r="G58" s="3"/>
      <c r="H58" s="2"/>
      <c r="I58" s="73"/>
      <c r="J58" s="2"/>
      <c r="K58" s="3"/>
      <c r="M58" s="6"/>
      <c r="N58" s="85"/>
      <c r="O58" s="555"/>
      <c r="P58" s="180"/>
      <c r="Q58" s="556"/>
      <c r="R58" s="556"/>
      <c r="S58" s="556"/>
      <c r="T58" s="556"/>
      <c r="U58" s="556"/>
    </row>
    <row r="59" spans="1:21" ht="24" customHeight="1">
      <c r="A59" s="71" t="s">
        <v>900</v>
      </c>
      <c r="B59" s="64"/>
      <c r="C59" s="73">
        <v>0</v>
      </c>
      <c r="D59" s="73">
        <v>0</v>
      </c>
      <c r="E59" s="73">
        <f>'Fund Cover Sheets'!G396</f>
        <v>525</v>
      </c>
      <c r="F59" s="73">
        <v>0</v>
      </c>
      <c r="G59" s="73">
        <v>0</v>
      </c>
      <c r="H59" s="2">
        <v>0</v>
      </c>
      <c r="I59" s="3">
        <f>'Fund Cover Sheets'!G397</f>
        <v>310250</v>
      </c>
      <c r="J59" s="2">
        <v>0</v>
      </c>
      <c r="K59" s="3">
        <f>SUM(C59:J59)</f>
        <v>310775</v>
      </c>
      <c r="M59" s="6"/>
      <c r="N59" s="85"/>
      <c r="O59" s="555">
        <f>'Fund Cover Sheets'!G399</f>
        <v>310775</v>
      </c>
      <c r="P59" s="678">
        <f>K59-O59</f>
        <v>0</v>
      </c>
      <c r="Q59" s="556"/>
      <c r="R59" s="556"/>
      <c r="S59" s="556"/>
      <c r="T59" s="556"/>
      <c r="U59" s="556"/>
    </row>
    <row r="60" spans="1:21">
      <c r="A60" s="72"/>
      <c r="B60" s="64"/>
      <c r="C60" s="3"/>
      <c r="D60" s="3"/>
      <c r="E60" s="2"/>
      <c r="F60" s="3"/>
      <c r="G60" s="73"/>
      <c r="H60" s="2"/>
      <c r="I60" s="3"/>
      <c r="J60" s="2"/>
      <c r="K60" s="3"/>
      <c r="O60" s="555"/>
      <c r="P60" s="180"/>
      <c r="Q60" s="556"/>
      <c r="R60" s="556"/>
      <c r="S60" s="556"/>
      <c r="T60" s="556"/>
      <c r="U60" s="556"/>
    </row>
    <row r="61" spans="1:21" ht="24" customHeight="1">
      <c r="A61" s="71" t="s">
        <v>901</v>
      </c>
      <c r="B61" s="64"/>
      <c r="C61" s="73"/>
      <c r="D61" s="73"/>
      <c r="E61" s="2"/>
      <c r="F61" s="73"/>
      <c r="G61" s="73"/>
      <c r="H61" s="2"/>
      <c r="I61" s="73"/>
      <c r="J61" s="2"/>
      <c r="K61" s="3"/>
      <c r="O61" s="555"/>
      <c r="P61" s="180"/>
      <c r="Q61" s="556"/>
      <c r="R61" s="556"/>
      <c r="S61" s="556"/>
      <c r="T61" s="556"/>
      <c r="U61" s="556"/>
    </row>
    <row r="62" spans="1:21" ht="24" customHeight="1">
      <c r="A62" s="72"/>
      <c r="B62" s="69" t="s">
        <v>1038</v>
      </c>
      <c r="C62" s="3">
        <v>0</v>
      </c>
      <c r="D62" s="3">
        <v>0</v>
      </c>
      <c r="E62" s="2">
        <f>'Fund Cover Sheets'!G317+'Fund Cover Sheets'!G324</f>
        <v>24167</v>
      </c>
      <c r="F62" s="3">
        <f>'Fund Cover Sheets'!G325</f>
        <v>2000</v>
      </c>
      <c r="G62" s="3">
        <f>'Fund Cover Sheets'!G318+'Fund Cover Sheets'!G326+'Fund Cover Sheets'!G334</f>
        <v>516929</v>
      </c>
      <c r="H62" s="2">
        <v>0</v>
      </c>
      <c r="I62" s="3">
        <f>'Fund Cover Sheets'!G327+'Fund Cover Sheets'!G335</f>
        <v>73034</v>
      </c>
      <c r="J62" s="3">
        <f>'Fund Cover Sheets'!G336</f>
        <v>0</v>
      </c>
      <c r="K62" s="3">
        <f>SUM(C62:J62)</f>
        <v>616130</v>
      </c>
      <c r="O62" s="555">
        <f>'Fund Cover Sheets'!G341</f>
        <v>616130</v>
      </c>
      <c r="P62" s="678">
        <f>K62-O62</f>
        <v>0</v>
      </c>
      <c r="Q62" s="556"/>
      <c r="R62" s="556"/>
      <c r="S62" s="556"/>
      <c r="T62" s="556"/>
      <c r="U62" s="556"/>
    </row>
    <row r="63" spans="1:21" ht="24" customHeight="1">
      <c r="A63" s="72"/>
      <c r="B63" s="69" t="s">
        <v>904</v>
      </c>
      <c r="C63" s="3">
        <v>0</v>
      </c>
      <c r="D63" s="73">
        <v>0</v>
      </c>
      <c r="E63" s="73">
        <f>'Fund Cover Sheets'!G254</f>
        <v>86025</v>
      </c>
      <c r="F63" s="73">
        <f>'Fund Cover Sheets'!G255</f>
        <v>27500</v>
      </c>
      <c r="G63" s="73">
        <f>'Fund Cover Sheets'!G256</f>
        <v>5375823</v>
      </c>
      <c r="H63" s="2">
        <v>0</v>
      </c>
      <c r="I63" s="73">
        <f>'Fund Cover Sheets'!G257</f>
        <v>408356</v>
      </c>
      <c r="J63" s="73">
        <f>'Fund Cover Sheets'!G258</f>
        <v>2500</v>
      </c>
      <c r="K63" s="3">
        <f>SUM(C63:J63)</f>
        <v>5900204</v>
      </c>
      <c r="O63" s="555">
        <f>'Fund Cover Sheets'!G259</f>
        <v>5900204</v>
      </c>
      <c r="P63" s="678">
        <f>K63-O63</f>
        <v>0</v>
      </c>
      <c r="Q63" s="556"/>
      <c r="R63" s="556"/>
      <c r="S63" s="556"/>
      <c r="T63" s="556"/>
      <c r="U63" s="556"/>
    </row>
    <row r="64" spans="1:21">
      <c r="A64" s="72"/>
      <c r="B64" s="69"/>
      <c r="C64" s="3"/>
      <c r="D64" s="73"/>
      <c r="E64" s="73"/>
      <c r="F64" s="73"/>
      <c r="G64" s="73"/>
      <c r="H64" s="2"/>
      <c r="I64" s="73"/>
      <c r="J64" s="73"/>
      <c r="K64" s="3"/>
      <c r="O64" s="555"/>
      <c r="P64" s="180"/>
      <c r="Q64" s="556"/>
      <c r="R64" s="556"/>
      <c r="S64" s="556"/>
      <c r="T64" s="556"/>
      <c r="U64" s="556"/>
    </row>
    <row r="65" spans="1:21" ht="24" customHeight="1">
      <c r="A65" s="71" t="s">
        <v>905</v>
      </c>
      <c r="B65" s="69"/>
      <c r="C65" s="2"/>
      <c r="D65" s="73"/>
      <c r="E65" s="73"/>
      <c r="F65" s="73"/>
      <c r="G65" s="73"/>
      <c r="H65" s="2"/>
      <c r="I65" s="73"/>
      <c r="J65" s="3"/>
      <c r="K65" s="3"/>
      <c r="O65" s="555"/>
      <c r="P65" s="180"/>
      <c r="Q65" s="556"/>
      <c r="R65" s="556"/>
      <c r="S65" s="556"/>
      <c r="T65" s="556"/>
      <c r="U65" s="556"/>
    </row>
    <row r="66" spans="1:21" ht="24" customHeight="1">
      <c r="B66" s="69" t="s">
        <v>679</v>
      </c>
      <c r="C66" s="2">
        <f>'Fund Cover Sheets'!G445</f>
        <v>411332</v>
      </c>
      <c r="D66" s="73">
        <f>'Fund Cover Sheets'!G446</f>
        <v>240029</v>
      </c>
      <c r="E66" s="73">
        <f>'Fund Cover Sheets'!G447</f>
        <v>816370</v>
      </c>
      <c r="F66" s="73">
        <f>'Fund Cover Sheets'!G448</f>
        <v>302995</v>
      </c>
      <c r="G66" s="73">
        <f>'Fund Cover Sheets'!G449</f>
        <v>4948544</v>
      </c>
      <c r="H66" s="2">
        <v>0</v>
      </c>
      <c r="I66" s="73">
        <f>'Fund Cover Sheets'!G451</f>
        <v>1230445</v>
      </c>
      <c r="J66" s="3">
        <v>0</v>
      </c>
      <c r="K66" s="3">
        <f>SUM(C66:J66)</f>
        <v>7949715</v>
      </c>
      <c r="O66" s="555">
        <f>'Fund Cover Sheets'!G452</f>
        <v>7949715</v>
      </c>
      <c r="P66" s="678">
        <f>K66-O66</f>
        <v>0</v>
      </c>
      <c r="Q66" s="556"/>
      <c r="R66" s="556"/>
      <c r="S66" s="556"/>
      <c r="T66" s="556"/>
      <c r="U66" s="556"/>
    </row>
    <row r="67" spans="1:21" ht="24" customHeight="1">
      <c r="B67" s="69" t="s">
        <v>680</v>
      </c>
      <c r="C67" s="2">
        <f>'Fund Cover Sheets'!G499</f>
        <v>205003</v>
      </c>
      <c r="D67" s="2">
        <f>'Fund Cover Sheets'!G500</f>
        <v>127049</v>
      </c>
      <c r="E67" s="2">
        <f>'Fund Cover Sheets'!G501</f>
        <v>82845</v>
      </c>
      <c r="F67" s="73">
        <f>'Fund Cover Sheets'!G502</f>
        <v>92610</v>
      </c>
      <c r="G67" s="73">
        <f>'Fund Cover Sheets'!G503</f>
        <v>459015</v>
      </c>
      <c r="H67" s="2">
        <f>'Fund Cover Sheets'!G504</f>
        <v>32891</v>
      </c>
      <c r="I67" s="73">
        <f>'Fund Cover Sheets'!G505</f>
        <v>1865399</v>
      </c>
      <c r="J67" s="3">
        <f>'Fund Cover Sheets'!G506</f>
        <v>76275</v>
      </c>
      <c r="K67" s="3">
        <f>SUM(C67:J67)</f>
        <v>2941087</v>
      </c>
      <c r="O67" s="555">
        <f>'Fund Cover Sheets'!G507</f>
        <v>2941087</v>
      </c>
      <c r="P67" s="678">
        <f>K67-O67</f>
        <v>0</v>
      </c>
      <c r="Q67" s="556"/>
      <c r="R67" s="556"/>
      <c r="S67" s="556"/>
      <c r="T67" s="556"/>
      <c r="U67" s="556"/>
    </row>
    <row r="68" spans="1:21">
      <c r="B68" s="69"/>
      <c r="C68" s="73"/>
      <c r="D68" s="73"/>
      <c r="E68" s="73"/>
      <c r="F68" s="73"/>
      <c r="G68" s="73"/>
      <c r="H68" s="2"/>
      <c r="I68" s="73"/>
      <c r="J68" s="73"/>
      <c r="K68" s="3"/>
      <c r="O68" s="555"/>
      <c r="P68" s="180"/>
      <c r="Q68" s="556"/>
      <c r="R68" s="556"/>
      <c r="S68" s="556"/>
      <c r="T68" s="556"/>
      <c r="U68" s="556"/>
    </row>
    <row r="69" spans="1:21" ht="24" customHeight="1">
      <c r="A69" s="71" t="s">
        <v>906</v>
      </c>
      <c r="B69" s="69"/>
      <c r="C69" s="73"/>
      <c r="D69" s="73"/>
      <c r="E69" s="73"/>
      <c r="F69" s="73"/>
      <c r="G69" s="73"/>
      <c r="H69" s="2"/>
      <c r="I69" s="73"/>
      <c r="J69" s="73"/>
      <c r="K69" s="3"/>
      <c r="O69" s="555"/>
      <c r="P69" s="180"/>
      <c r="Q69" s="556"/>
      <c r="R69" s="556"/>
      <c r="S69" s="556"/>
      <c r="T69" s="556"/>
      <c r="U69" s="556"/>
    </row>
    <row r="70" spans="1:21" ht="24" customHeight="1">
      <c r="A70" s="71"/>
      <c r="B70" s="69" t="s">
        <v>670</v>
      </c>
      <c r="C70" s="73">
        <f>'Fund Cover Sheets'!G711</f>
        <v>397860</v>
      </c>
      <c r="D70" s="73">
        <f>'Fund Cover Sheets'!G712</f>
        <v>171013</v>
      </c>
      <c r="E70" s="73">
        <f>'Fund Cover Sheets'!G713</f>
        <v>128249</v>
      </c>
      <c r="F70" s="73">
        <f>'Fund Cover Sheets'!G714</f>
        <v>19000</v>
      </c>
      <c r="G70" s="73">
        <v>0</v>
      </c>
      <c r="H70" s="2">
        <v>0</v>
      </c>
      <c r="I70" s="73">
        <v>0</v>
      </c>
      <c r="J70" s="73">
        <f>'Fund Cover Sheets'!G715</f>
        <v>0</v>
      </c>
      <c r="K70" s="3">
        <f>SUM(C70:J70)</f>
        <v>716122</v>
      </c>
      <c r="O70" s="555">
        <f>'Fund Cover Sheets'!G716</f>
        <v>716122</v>
      </c>
      <c r="P70" s="678">
        <f>K70-O70</f>
        <v>0</v>
      </c>
      <c r="Q70" s="556"/>
      <c r="R70" s="556"/>
      <c r="S70" s="556"/>
      <c r="T70" s="556"/>
      <c r="U70" s="556"/>
    </row>
    <row r="71" spans="1:21" ht="24" customHeight="1">
      <c r="A71" s="71"/>
      <c r="B71" s="69" t="s">
        <v>586</v>
      </c>
      <c r="C71" s="73">
        <v>0</v>
      </c>
      <c r="D71" s="73">
        <v>0</v>
      </c>
      <c r="E71" s="73">
        <v>0</v>
      </c>
      <c r="F71" s="73">
        <v>0</v>
      </c>
      <c r="G71" s="73">
        <v>0</v>
      </c>
      <c r="H71" s="2">
        <v>0</v>
      </c>
      <c r="I71" s="73">
        <f>'Fund Cover Sheets'!G762</f>
        <v>749846</v>
      </c>
      <c r="J71" s="73"/>
      <c r="K71" s="3">
        <f>SUM(C71:J71)</f>
        <v>749846</v>
      </c>
      <c r="O71" s="555">
        <f>'Fund Cover Sheets'!G763</f>
        <v>749846</v>
      </c>
      <c r="P71" s="678">
        <f>K71-O71</f>
        <v>0</v>
      </c>
      <c r="Q71" s="556"/>
      <c r="R71" s="556"/>
      <c r="S71" s="556"/>
      <c r="T71" s="556"/>
      <c r="U71" s="556"/>
    </row>
    <row r="72" spans="1:21" ht="24" customHeight="1">
      <c r="A72" s="71"/>
      <c r="B72" s="69" t="s">
        <v>907</v>
      </c>
      <c r="C72" s="73">
        <v>0</v>
      </c>
      <c r="D72" s="73">
        <v>0</v>
      </c>
      <c r="E72" s="73">
        <f>'Fund Cover Sheets'!G807</f>
        <v>3500</v>
      </c>
      <c r="F72" s="73">
        <f>'Fund Cover Sheets'!G808</f>
        <v>8395</v>
      </c>
      <c r="G72" s="73">
        <v>0</v>
      </c>
      <c r="H72" s="2">
        <v>0</v>
      </c>
      <c r="I72" s="73">
        <v>0</v>
      </c>
      <c r="J72" s="73">
        <v>0</v>
      </c>
      <c r="K72" s="3">
        <f>SUM(C72:J72)</f>
        <v>11895</v>
      </c>
      <c r="O72" s="555">
        <f>'Fund Cover Sheets'!G809</f>
        <v>11895</v>
      </c>
      <c r="P72" s="678">
        <f>K72-O72</f>
        <v>0</v>
      </c>
      <c r="Q72" s="556"/>
      <c r="R72" s="556"/>
      <c r="S72" s="556"/>
      <c r="T72" s="556"/>
      <c r="U72" s="556"/>
    </row>
    <row r="73" spans="1:21">
      <c r="A73" s="74"/>
      <c r="B73" s="69"/>
      <c r="C73" s="73"/>
      <c r="D73" s="73"/>
      <c r="E73" s="73"/>
      <c r="F73" s="73"/>
      <c r="G73" s="73"/>
      <c r="H73" s="2"/>
      <c r="I73" s="73"/>
      <c r="J73" s="3"/>
      <c r="K73" s="3"/>
      <c r="O73" s="562" t="s">
        <v>1143</v>
      </c>
      <c r="P73" s="681" t="s">
        <v>1139</v>
      </c>
      <c r="Q73" s="556"/>
      <c r="R73" s="556"/>
      <c r="S73" s="554" t="s">
        <v>1146</v>
      </c>
      <c r="T73" s="554"/>
      <c r="U73" s="353" t="s">
        <v>1138</v>
      </c>
    </row>
    <row r="74" spans="1:21" ht="24" customHeight="1" thickBot="1">
      <c r="A74" s="7"/>
      <c r="B74" s="75" t="s">
        <v>966</v>
      </c>
      <c r="C74" s="83">
        <f t="shared" ref="C74:G74" si="8">SUM(C48:C73)</f>
        <v>5991210</v>
      </c>
      <c r="D74" s="83">
        <f t="shared" si="8"/>
        <v>3466613</v>
      </c>
      <c r="E74" s="83">
        <f t="shared" si="8"/>
        <v>6399253</v>
      </c>
      <c r="F74" s="83">
        <f t="shared" si="8"/>
        <v>1254847</v>
      </c>
      <c r="G74" s="83">
        <f t="shared" si="8"/>
        <v>12760600</v>
      </c>
      <c r="H74" s="83">
        <f>SUM(H48:H73)</f>
        <v>32891</v>
      </c>
      <c r="I74" s="83">
        <f>SUM(I48:I73)</f>
        <v>4730761</v>
      </c>
      <c r="J74" s="83">
        <f>SUM(J48:J73)</f>
        <v>2518531</v>
      </c>
      <c r="K74" s="83">
        <f>SUM(K48:K73)</f>
        <v>37154706</v>
      </c>
      <c r="N74" s="726"/>
      <c r="O74" s="555">
        <f>SUM(C74:J74)</f>
        <v>37154706</v>
      </c>
      <c r="P74" s="677">
        <f>K74-O74</f>
        <v>0</v>
      </c>
      <c r="Q74" s="556"/>
      <c r="R74" s="556"/>
      <c r="S74" s="555">
        <f>'Budget Summary'!G76</f>
        <v>37154706</v>
      </c>
      <c r="T74" s="556"/>
      <c r="U74" s="677">
        <f>K74-S74</f>
        <v>0</v>
      </c>
    </row>
    <row r="75" spans="1:21" ht="15.75" thickTop="1">
      <c r="C75" s="77"/>
      <c r="D75" s="77"/>
      <c r="E75" s="77"/>
      <c r="F75" s="77"/>
      <c r="G75" s="77"/>
      <c r="H75" s="92"/>
      <c r="I75" s="77"/>
      <c r="O75" s="678">
        <f>SUM(O48:O72)-O74</f>
        <v>0</v>
      </c>
      <c r="P75" s="680" t="s">
        <v>1142</v>
      </c>
      <c r="Q75" s="556"/>
      <c r="R75" s="556"/>
      <c r="S75" s="556"/>
      <c r="T75" s="556"/>
      <c r="U75" s="556"/>
    </row>
    <row r="76" spans="1:21">
      <c r="C76" s="77"/>
      <c r="D76" s="77"/>
      <c r="E76" s="77"/>
      <c r="F76" s="77"/>
      <c r="G76" s="77"/>
      <c r="H76" s="92"/>
      <c r="I76" s="77"/>
      <c r="O76" s="2"/>
    </row>
    <row r="77" spans="1:21">
      <c r="C77" s="77"/>
      <c r="D77" s="77"/>
      <c r="E77" s="77"/>
      <c r="F77" s="77"/>
      <c r="G77" s="77"/>
      <c r="H77" s="92"/>
      <c r="I77" s="77"/>
      <c r="O77" s="2"/>
    </row>
    <row r="78" spans="1:21">
      <c r="C78" s="77"/>
      <c r="D78" s="77"/>
      <c r="E78" s="77"/>
      <c r="F78" s="77"/>
      <c r="G78" s="77"/>
      <c r="H78" s="92"/>
      <c r="I78" s="77"/>
      <c r="O78" s="2"/>
    </row>
    <row r="79" spans="1:21">
      <c r="C79" s="77"/>
      <c r="D79" s="77"/>
      <c r="E79" s="77"/>
      <c r="F79" s="77"/>
      <c r="G79" s="77"/>
      <c r="H79" s="92"/>
      <c r="I79" s="77"/>
    </row>
    <row r="80" spans="1:21">
      <c r="C80" s="77"/>
      <c r="D80" s="77"/>
      <c r="E80" s="77"/>
      <c r="F80" s="77"/>
      <c r="G80" s="77"/>
      <c r="H80" s="92"/>
      <c r="I80" s="77"/>
    </row>
    <row r="81" spans="3:9">
      <c r="C81" s="77"/>
      <c r="D81" s="77"/>
      <c r="E81" s="77"/>
      <c r="F81" s="77"/>
      <c r="G81" s="77"/>
      <c r="H81" s="92"/>
      <c r="I81" s="77"/>
    </row>
    <row r="82" spans="3:9">
      <c r="C82" s="77"/>
      <c r="D82" s="77"/>
      <c r="E82" s="77"/>
      <c r="F82" s="77"/>
      <c r="G82" s="77"/>
      <c r="H82" s="92"/>
      <c r="I82" s="77"/>
    </row>
    <row r="83" spans="3:9">
      <c r="C83" s="77"/>
      <c r="D83" s="77"/>
      <c r="E83" s="77"/>
      <c r="F83" s="77"/>
      <c r="G83" s="77"/>
      <c r="H83" s="92"/>
      <c r="I83" s="77"/>
    </row>
    <row r="84" spans="3:9">
      <c r="C84" s="77"/>
      <c r="D84" s="77"/>
      <c r="E84" s="77"/>
      <c r="F84" s="77"/>
      <c r="G84" s="77"/>
      <c r="H84" s="92"/>
      <c r="I84" s="77"/>
    </row>
    <row r="85" spans="3:9">
      <c r="C85" s="77"/>
      <c r="D85" s="77"/>
      <c r="E85" s="77"/>
      <c r="F85" s="77"/>
      <c r="G85" s="77"/>
      <c r="H85" s="92"/>
      <c r="I85" s="77"/>
    </row>
    <row r="86" spans="3:9">
      <c r="C86" s="77"/>
      <c r="D86" s="77"/>
      <c r="E86" s="77"/>
      <c r="F86" s="77"/>
      <c r="G86" s="77"/>
      <c r="H86" s="77"/>
      <c r="I86" s="77"/>
    </row>
    <row r="87" spans="3:9">
      <c r="C87" s="77"/>
      <c r="D87" s="77"/>
      <c r="E87" s="77"/>
      <c r="F87" s="77"/>
      <c r="G87" s="77"/>
      <c r="H87" s="77"/>
      <c r="I87" s="77"/>
    </row>
    <row r="88" spans="3:9">
      <c r="C88" s="77"/>
      <c r="D88" s="77"/>
      <c r="E88" s="77"/>
      <c r="F88" s="77"/>
      <c r="G88" s="77"/>
      <c r="H88" s="77"/>
      <c r="I88" s="77"/>
    </row>
    <row r="89" spans="3:9">
      <c r="C89" s="77"/>
      <c r="D89" s="77"/>
      <c r="E89" s="77"/>
      <c r="F89" s="77"/>
      <c r="G89" s="77"/>
      <c r="H89" s="77"/>
      <c r="I89" s="77"/>
    </row>
    <row r="90" spans="3:9">
      <c r="C90" s="77"/>
      <c r="D90" s="77"/>
      <c r="E90" s="77"/>
      <c r="F90" s="77"/>
      <c r="G90" s="77"/>
      <c r="H90" s="77"/>
      <c r="I90" s="77"/>
    </row>
    <row r="91" spans="3:9">
      <c r="C91" s="77"/>
      <c r="D91" s="77"/>
      <c r="E91" s="77"/>
      <c r="F91" s="77"/>
      <c r="G91" s="77"/>
      <c r="H91" s="77"/>
      <c r="I91" s="77"/>
    </row>
    <row r="92" spans="3:9">
      <c r="C92" s="77"/>
      <c r="D92" s="77"/>
      <c r="E92" s="77"/>
      <c r="F92" s="77"/>
      <c r="G92" s="77"/>
      <c r="H92" s="77"/>
      <c r="I92" s="77"/>
    </row>
    <row r="93" spans="3:9">
      <c r="C93" s="77"/>
      <c r="D93" s="77"/>
      <c r="E93" s="77"/>
      <c r="F93" s="77"/>
      <c r="G93" s="77"/>
      <c r="H93" s="77"/>
      <c r="I93" s="77"/>
    </row>
    <row r="94" spans="3:9">
      <c r="C94" s="77"/>
      <c r="D94" s="77"/>
      <c r="E94" s="77"/>
      <c r="F94" s="77"/>
      <c r="G94" s="77"/>
      <c r="H94" s="77"/>
      <c r="I94" s="77"/>
    </row>
    <row r="95" spans="3:9">
      <c r="C95" s="77"/>
      <c r="D95" s="77"/>
      <c r="E95" s="77"/>
      <c r="F95" s="77"/>
      <c r="G95" s="77"/>
      <c r="H95" s="77"/>
      <c r="I95" s="77"/>
    </row>
    <row r="96" spans="3:9">
      <c r="C96" s="77"/>
      <c r="D96" s="77"/>
      <c r="E96" s="77"/>
      <c r="F96" s="77"/>
      <c r="G96" s="77"/>
      <c r="H96" s="77"/>
      <c r="I96" s="77"/>
    </row>
    <row r="97" spans="3:9">
      <c r="C97" s="77"/>
      <c r="D97" s="77"/>
      <c r="E97" s="77"/>
      <c r="F97" s="77"/>
      <c r="G97" s="77"/>
      <c r="H97" s="77"/>
      <c r="I97" s="77"/>
    </row>
    <row r="98" spans="3:9">
      <c r="C98" s="77"/>
      <c r="D98" s="77"/>
      <c r="E98" s="77"/>
      <c r="F98" s="77"/>
      <c r="G98" s="77"/>
      <c r="H98" s="77"/>
      <c r="I98" s="77"/>
    </row>
    <row r="99" spans="3:9">
      <c r="C99" s="77"/>
      <c r="D99" s="77"/>
      <c r="E99" s="77"/>
      <c r="F99" s="77"/>
      <c r="G99" s="77"/>
      <c r="H99" s="77"/>
      <c r="I99" s="77"/>
    </row>
    <row r="100" spans="3:9">
      <c r="C100" s="77"/>
      <c r="D100" s="77"/>
      <c r="E100" s="77"/>
      <c r="F100" s="77"/>
      <c r="G100" s="77"/>
      <c r="H100" s="77"/>
      <c r="I100" s="77"/>
    </row>
    <row r="101" spans="3:9">
      <c r="C101" s="77"/>
      <c r="D101" s="77"/>
      <c r="E101" s="77"/>
      <c r="F101" s="77"/>
      <c r="G101" s="77"/>
      <c r="H101" s="77"/>
      <c r="I101" s="77"/>
    </row>
    <row r="102" spans="3:9">
      <c r="C102" s="77"/>
      <c r="D102" s="77"/>
      <c r="E102" s="77"/>
      <c r="F102" s="77"/>
      <c r="G102" s="77"/>
      <c r="H102" s="77"/>
      <c r="I102" s="77"/>
    </row>
    <row r="103" spans="3:9">
      <c r="C103" s="77"/>
      <c r="D103" s="77"/>
      <c r="E103" s="77"/>
      <c r="F103" s="77"/>
      <c r="G103" s="77"/>
      <c r="H103" s="77"/>
      <c r="I103" s="77"/>
    </row>
    <row r="104" spans="3:9">
      <c r="C104" s="77"/>
      <c r="D104" s="77"/>
      <c r="E104" s="77"/>
      <c r="F104" s="77"/>
      <c r="G104" s="77"/>
      <c r="H104" s="77"/>
      <c r="I104" s="77"/>
    </row>
    <row r="105" spans="3:9">
      <c r="C105" s="77"/>
      <c r="D105" s="77"/>
      <c r="E105" s="77"/>
      <c r="F105" s="77"/>
      <c r="G105" s="77"/>
      <c r="H105" s="77"/>
      <c r="I105" s="77"/>
    </row>
    <row r="106" spans="3:9">
      <c r="C106" s="77"/>
      <c r="D106" s="77"/>
      <c r="E106" s="77"/>
      <c r="F106" s="77"/>
      <c r="G106" s="77"/>
      <c r="H106" s="77"/>
      <c r="I106" s="77"/>
    </row>
    <row r="107" spans="3:9">
      <c r="C107" s="77"/>
      <c r="D107" s="77"/>
      <c r="E107" s="77"/>
      <c r="F107" s="77"/>
      <c r="G107" s="77"/>
      <c r="H107" s="77"/>
      <c r="I107" s="77"/>
    </row>
    <row r="108" spans="3:9">
      <c r="C108" s="77"/>
      <c r="D108" s="77"/>
      <c r="E108" s="77"/>
      <c r="F108" s="77"/>
      <c r="G108" s="77"/>
      <c r="H108" s="77"/>
      <c r="I108" s="77"/>
    </row>
  </sheetData>
  <mergeCells count="6">
    <mergeCell ref="A41:J41"/>
    <mergeCell ref="A1:M1"/>
    <mergeCell ref="A2:M2"/>
    <mergeCell ref="A3:M3"/>
    <mergeCell ref="A39:J39"/>
    <mergeCell ref="A40:J40"/>
  </mergeCells>
  <printOptions horizontalCentered="1"/>
  <pageMargins left="0" right="0" top="0.5" bottom="0" header="0" footer="0"/>
  <pageSetup scale="70" orientation="landscape" r:id="rId1"/>
  <rowBreaks count="1" manualBreakCount="1">
    <brk id="38" max="12" man="1"/>
  </rowBreaks>
</worksheet>
</file>

<file path=xl/worksheets/sheet3.xml><?xml version="1.0" encoding="utf-8"?>
<worksheet xmlns="http://schemas.openxmlformats.org/spreadsheetml/2006/main" xmlns:r="http://schemas.openxmlformats.org/officeDocument/2006/relationships">
  <dimension ref="A1:S103"/>
  <sheetViews>
    <sheetView zoomScaleNormal="100" workbookViewId="0">
      <selection activeCell="L16" sqref="L16"/>
    </sheetView>
  </sheetViews>
  <sheetFormatPr defaultColWidth="10.42578125" defaultRowHeight="15"/>
  <cols>
    <col min="1" max="1" width="2.7109375" style="39" customWidth="1"/>
    <col min="2" max="2" width="25.7109375" style="10" customWidth="1"/>
    <col min="3" max="3" width="12.7109375" style="10" customWidth="1"/>
    <col min="4" max="4" width="12.7109375" style="39" customWidth="1"/>
    <col min="5" max="11" width="12.7109375" style="103" customWidth="1"/>
    <col min="12" max="13" width="10.42578125" style="103"/>
    <col min="14" max="14" width="29" style="103" customWidth="1"/>
    <col min="15" max="16384" width="10.42578125" style="103"/>
  </cols>
  <sheetData>
    <row r="1" spans="1:19" ht="24" customHeight="1">
      <c r="A1" s="728" t="s">
        <v>892</v>
      </c>
      <c r="B1" s="728"/>
      <c r="C1" s="728"/>
      <c r="D1" s="728"/>
      <c r="E1" s="728"/>
      <c r="F1" s="728"/>
      <c r="G1" s="728"/>
      <c r="H1" s="728"/>
      <c r="I1" s="728"/>
      <c r="J1" s="728"/>
      <c r="K1" s="728"/>
      <c r="M1" s="122"/>
      <c r="N1" s="121"/>
      <c r="O1" s="121"/>
    </row>
    <row r="2" spans="1:19" ht="24" customHeight="1">
      <c r="A2" s="729" t="s">
        <v>950</v>
      </c>
      <c r="B2" s="729"/>
      <c r="C2" s="729"/>
      <c r="D2" s="729"/>
      <c r="E2" s="729"/>
      <c r="F2" s="729"/>
      <c r="G2" s="729"/>
      <c r="H2" s="729"/>
      <c r="I2" s="729"/>
      <c r="J2" s="729"/>
      <c r="K2" s="729"/>
      <c r="L2" s="104"/>
      <c r="M2" s="104"/>
      <c r="N2" s="104"/>
      <c r="O2" s="104"/>
      <c r="P2" s="104"/>
      <c r="Q2" s="105"/>
      <c r="R2" s="105"/>
      <c r="S2" s="105"/>
    </row>
    <row r="3" spans="1:19" ht="24" customHeight="1">
      <c r="A3" s="728" t="s">
        <v>1339</v>
      </c>
      <c r="B3" s="728"/>
      <c r="C3" s="728"/>
      <c r="D3" s="728"/>
      <c r="E3" s="728"/>
      <c r="F3" s="728"/>
      <c r="G3" s="728"/>
      <c r="H3" s="728"/>
      <c r="I3" s="728"/>
      <c r="J3" s="728"/>
      <c r="K3" s="728"/>
      <c r="L3" s="105"/>
      <c r="M3" s="105"/>
      <c r="N3" s="105"/>
      <c r="O3" s="105"/>
      <c r="P3" s="105"/>
      <c r="Q3" s="105"/>
      <c r="R3" s="105"/>
      <c r="S3" s="105"/>
    </row>
    <row r="4" spans="1:19" ht="15" customHeight="1">
      <c r="A4" s="106"/>
      <c r="B4" s="106"/>
      <c r="C4" s="106"/>
      <c r="D4" s="106"/>
      <c r="E4" s="106"/>
      <c r="F4" s="106"/>
      <c r="G4" s="106"/>
      <c r="H4" s="106"/>
      <c r="L4" s="105"/>
      <c r="M4" s="105"/>
      <c r="N4" s="105"/>
      <c r="O4" s="105"/>
      <c r="P4" s="105"/>
      <c r="Q4" s="105"/>
      <c r="R4" s="105"/>
      <c r="S4" s="105"/>
    </row>
    <row r="5" spans="1:19" ht="15" customHeight="1">
      <c r="B5" s="11"/>
      <c r="C5" s="65"/>
      <c r="D5" s="65"/>
      <c r="E5" s="66" t="s">
        <v>270</v>
      </c>
      <c r="F5" s="65"/>
      <c r="G5" s="1"/>
      <c r="H5" s="1"/>
      <c r="I5" s="1"/>
      <c r="J5" s="1"/>
      <c r="K5" s="1"/>
    </row>
    <row r="6" spans="1:19" ht="15" customHeight="1">
      <c r="C6" s="65" t="s">
        <v>257</v>
      </c>
      <c r="D6" s="65" t="s">
        <v>258</v>
      </c>
      <c r="E6" s="49" t="s">
        <v>832</v>
      </c>
      <c r="F6" s="66" t="s">
        <v>270</v>
      </c>
      <c r="G6" s="66" t="s">
        <v>271</v>
      </c>
      <c r="H6" s="66" t="s">
        <v>272</v>
      </c>
      <c r="I6" s="66" t="s">
        <v>996</v>
      </c>
      <c r="J6" s="66" t="s">
        <v>1101</v>
      </c>
      <c r="K6" s="66" t="s">
        <v>1136</v>
      </c>
    </row>
    <row r="7" spans="1:19" ht="15" customHeight="1" thickBot="1">
      <c r="B7" s="89" t="s">
        <v>894</v>
      </c>
      <c r="C7" s="68" t="s">
        <v>1</v>
      </c>
      <c r="D7" s="68" t="s">
        <v>1</v>
      </c>
      <c r="E7" s="68" t="s">
        <v>787</v>
      </c>
      <c r="F7" s="68" t="s">
        <v>19</v>
      </c>
      <c r="G7" s="68" t="s">
        <v>832</v>
      </c>
      <c r="H7" s="68" t="s">
        <v>19</v>
      </c>
      <c r="I7" s="68" t="s">
        <v>19</v>
      </c>
      <c r="J7" s="68" t="s">
        <v>19</v>
      </c>
      <c r="K7" s="68" t="s">
        <v>19</v>
      </c>
    </row>
    <row r="8" spans="1:19" ht="15" customHeight="1">
      <c r="B8" s="21"/>
      <c r="C8" s="70"/>
      <c r="D8" s="70"/>
      <c r="E8" s="70"/>
      <c r="F8" s="70"/>
      <c r="G8" s="70"/>
      <c r="H8" s="70"/>
      <c r="I8" s="70"/>
      <c r="J8" s="70"/>
      <c r="K8" s="70"/>
    </row>
    <row r="9" spans="1:19" ht="24" customHeight="1">
      <c r="A9" s="494" t="s">
        <v>895</v>
      </c>
      <c r="C9" s="2">
        <f>'Fund Cover Sheets'!C39</f>
        <v>4223820</v>
      </c>
      <c r="D9" s="2">
        <f>'Fund Cover Sheets'!D39</f>
        <v>3860581</v>
      </c>
      <c r="E9" s="2">
        <f>'Fund Cover Sheets'!E39</f>
        <v>3874053</v>
      </c>
      <c r="F9" s="2">
        <f>'Fund Cover Sheets'!F39</f>
        <v>4100605</v>
      </c>
      <c r="G9" s="2">
        <f>'Fund Cover Sheets'!G39</f>
        <v>4110607</v>
      </c>
      <c r="H9" s="2">
        <f>'Fund Cover Sheets'!H39</f>
        <v>3588705</v>
      </c>
      <c r="I9" s="2">
        <f>'Fund Cover Sheets'!I39</f>
        <v>2683861</v>
      </c>
      <c r="J9" s="2">
        <f>'Fund Cover Sheets'!J39</f>
        <v>1427875</v>
      </c>
      <c r="K9" s="2">
        <f>'Fund Cover Sheets'!K39</f>
        <v>-231296</v>
      </c>
    </row>
    <row r="10" spans="1:19" ht="15" customHeight="1">
      <c r="A10" s="107"/>
      <c r="C10" s="3"/>
      <c r="D10" s="3"/>
      <c r="E10" s="93"/>
      <c r="F10" s="93"/>
      <c r="G10" s="93"/>
      <c r="H10" s="93"/>
      <c r="I10" s="108"/>
      <c r="J10" s="108"/>
      <c r="K10" s="108"/>
    </row>
    <row r="11" spans="1:19" ht="15" customHeight="1">
      <c r="A11" s="107"/>
      <c r="C11" s="3"/>
      <c r="D11" s="3"/>
      <c r="E11" s="93"/>
      <c r="F11" s="93"/>
      <c r="G11" s="93"/>
      <c r="H11" s="93"/>
      <c r="I11" s="108"/>
      <c r="J11" s="108"/>
      <c r="K11" s="108"/>
    </row>
    <row r="12" spans="1:19" ht="15" customHeight="1">
      <c r="A12" s="107"/>
      <c r="C12" s="73"/>
      <c r="D12" s="73"/>
      <c r="E12" s="93"/>
      <c r="F12" s="93"/>
      <c r="G12" s="93"/>
      <c r="H12" s="93"/>
      <c r="I12" s="108"/>
      <c r="J12" s="108"/>
      <c r="K12" s="108"/>
    </row>
    <row r="13" spans="1:19" ht="24" customHeight="1">
      <c r="A13" s="71" t="s">
        <v>896</v>
      </c>
      <c r="B13" s="1"/>
      <c r="C13" s="73"/>
      <c r="D13" s="73"/>
      <c r="E13" s="93"/>
      <c r="F13" s="93"/>
      <c r="G13" s="93"/>
      <c r="H13" s="93"/>
      <c r="I13" s="108"/>
      <c r="J13" s="108"/>
      <c r="K13" s="108"/>
    </row>
    <row r="14" spans="1:19" ht="24" customHeight="1">
      <c r="A14" s="71"/>
      <c r="B14" s="1" t="s">
        <v>815</v>
      </c>
      <c r="C14" s="2">
        <f>'Fund Cover Sheets'!C173</f>
        <v>1162506</v>
      </c>
      <c r="D14" s="2">
        <f>'Fund Cover Sheets'!D173</f>
        <v>1030456</v>
      </c>
      <c r="E14" s="2">
        <f>'Fund Cover Sheets'!E173</f>
        <v>620347</v>
      </c>
      <c r="F14" s="2">
        <f>'Fund Cover Sheets'!F173</f>
        <v>977153</v>
      </c>
      <c r="G14" s="2">
        <f>'Fund Cover Sheets'!G173</f>
        <v>589656</v>
      </c>
      <c r="H14" s="2">
        <f>'Fund Cover Sheets'!H173</f>
        <v>343076</v>
      </c>
      <c r="I14" s="2">
        <f>'Fund Cover Sheets'!I173</f>
        <v>189518</v>
      </c>
      <c r="J14" s="2">
        <f>'Fund Cover Sheets'!J173</f>
        <v>36064</v>
      </c>
      <c r="K14" s="2">
        <f>'Fund Cover Sheets'!K173</f>
        <v>0</v>
      </c>
    </row>
    <row r="15" spans="1:19" s="110" customFormat="1" ht="24" customHeight="1">
      <c r="A15" s="72"/>
      <c r="B15" s="69" t="s">
        <v>897</v>
      </c>
      <c r="C15" s="109">
        <f>'Fund Cover Sheets'!C618</f>
        <v>320370</v>
      </c>
      <c r="D15" s="109">
        <f>'Fund Cover Sheets'!D618</f>
        <v>546485</v>
      </c>
      <c r="E15" s="109">
        <f>'Fund Cover Sheets'!E618</f>
        <v>286717</v>
      </c>
      <c r="F15" s="109">
        <f>'Fund Cover Sheets'!F618</f>
        <v>482100</v>
      </c>
      <c r="G15" s="109">
        <f>'Fund Cover Sheets'!G618</f>
        <v>269391</v>
      </c>
      <c r="H15" s="109">
        <f>'Fund Cover Sheets'!H618</f>
        <v>277627</v>
      </c>
      <c r="I15" s="109">
        <f>'Fund Cover Sheets'!I618</f>
        <v>286803</v>
      </c>
      <c r="J15" s="109">
        <f>'Fund Cover Sheets'!J618</f>
        <v>296534</v>
      </c>
      <c r="K15" s="109">
        <f>'Fund Cover Sheets'!K618</f>
        <v>306857</v>
      </c>
    </row>
    <row r="16" spans="1:19" s="110" customFormat="1" ht="24" customHeight="1">
      <c r="A16" s="72"/>
      <c r="B16" s="69" t="s">
        <v>681</v>
      </c>
      <c r="C16" s="2">
        <f>'Fund Cover Sheets'!C566</f>
        <v>121420</v>
      </c>
      <c r="D16" s="2">
        <f>'Fund Cover Sheets'!D566</f>
        <v>187984</v>
      </c>
      <c r="E16" s="2">
        <f>'Fund Cover Sheets'!E566</f>
        <v>-145213</v>
      </c>
      <c r="F16" s="2">
        <f>'Fund Cover Sheets'!F566</f>
        <v>-34835</v>
      </c>
      <c r="G16" s="2">
        <f>'Fund Cover Sheets'!G566</f>
        <v>-185167</v>
      </c>
      <c r="H16" s="2">
        <f>'Fund Cover Sheets'!H566</f>
        <v>145333</v>
      </c>
      <c r="I16" s="2">
        <f>'Fund Cover Sheets'!I566</f>
        <v>175833</v>
      </c>
      <c r="J16" s="2">
        <f>'Fund Cover Sheets'!J566</f>
        <v>206333</v>
      </c>
      <c r="K16" s="2">
        <f>'Fund Cover Sheets'!K566</f>
        <v>236833</v>
      </c>
    </row>
    <row r="17" spans="1:11" ht="24" customHeight="1">
      <c r="A17" s="72"/>
      <c r="B17" s="69" t="s">
        <v>588</v>
      </c>
      <c r="C17" s="2">
        <f>'Fund Cover Sheets'!C866</f>
        <v>1572335</v>
      </c>
      <c r="D17" s="2">
        <f>'Fund Cover Sheets'!D866</f>
        <v>-534087</v>
      </c>
      <c r="E17" s="2">
        <f>'Fund Cover Sheets'!E866</f>
        <v>-604070</v>
      </c>
      <c r="F17" s="2">
        <f>'Fund Cover Sheets'!F866</f>
        <v>-598388</v>
      </c>
      <c r="G17" s="2">
        <f>'Fund Cover Sheets'!G866</f>
        <v>-594959</v>
      </c>
      <c r="H17" s="2">
        <f>'Fund Cover Sheets'!H866</f>
        <v>-616887</v>
      </c>
      <c r="I17" s="2">
        <f>'Fund Cover Sheets'!I866</f>
        <v>-638815</v>
      </c>
      <c r="J17" s="2">
        <f>'Fund Cover Sheets'!J866</f>
        <v>-660743</v>
      </c>
      <c r="K17" s="2">
        <f>'Fund Cover Sheets'!K866</f>
        <v>-917671</v>
      </c>
    </row>
    <row r="18" spans="1:11" ht="24" customHeight="1">
      <c r="A18" s="72"/>
      <c r="B18" s="69" t="s">
        <v>593</v>
      </c>
      <c r="C18" s="2">
        <f>'Fund Cover Sheets'!C913</f>
        <v>216937</v>
      </c>
      <c r="D18" s="2">
        <f>'Fund Cover Sheets'!D913</f>
        <v>231529</v>
      </c>
      <c r="E18" s="2">
        <f>'Fund Cover Sheets'!E913</f>
        <v>265260</v>
      </c>
      <c r="F18" s="2">
        <f>'Fund Cover Sheets'!F913</f>
        <v>232931</v>
      </c>
      <c r="G18" s="2">
        <f>'Fund Cover Sheets'!G913</f>
        <v>-58049</v>
      </c>
      <c r="H18" s="2">
        <f>'Fund Cover Sheets'!H913</f>
        <v>-33284</v>
      </c>
      <c r="I18" s="2">
        <f>'Fund Cover Sheets'!I913</f>
        <v>-8629</v>
      </c>
      <c r="J18" s="2">
        <f>'Fund Cover Sheets'!J913</f>
        <v>21026</v>
      </c>
      <c r="K18" s="2">
        <f>'Fund Cover Sheets'!K913</f>
        <v>50581</v>
      </c>
    </row>
    <row r="19" spans="1:11" ht="24" customHeight="1">
      <c r="A19" s="72"/>
      <c r="B19" s="69" t="s">
        <v>898</v>
      </c>
      <c r="C19" s="2">
        <f>'Fund Cover Sheets'!C82</f>
        <v>15124</v>
      </c>
      <c r="D19" s="2">
        <f>'Fund Cover Sheets'!D82</f>
        <v>11134</v>
      </c>
      <c r="E19" s="2">
        <f>'Fund Cover Sheets'!E82</f>
        <v>154</v>
      </c>
      <c r="F19" s="2">
        <f>'Fund Cover Sheets'!F82</f>
        <v>15067</v>
      </c>
      <c r="G19" s="2">
        <f>'Fund Cover Sheets'!G82</f>
        <v>-7693</v>
      </c>
      <c r="H19" s="2">
        <f>'Fund Cover Sheets'!H82</f>
        <v>-5695</v>
      </c>
      <c r="I19" s="2">
        <f>'Fund Cover Sheets'!I82</f>
        <v>-3951</v>
      </c>
      <c r="J19" s="2">
        <f>'Fund Cover Sheets'!J82</f>
        <v>-2473</v>
      </c>
      <c r="K19" s="2">
        <f>'Fund Cover Sheets'!K82</f>
        <v>-1275</v>
      </c>
    </row>
    <row r="20" spans="1:11" ht="24" customHeight="1">
      <c r="A20" s="72"/>
      <c r="B20" s="69" t="s">
        <v>899</v>
      </c>
      <c r="C20" s="92">
        <f>'Fund Cover Sheets'!C126</f>
        <v>7740</v>
      </c>
      <c r="D20" s="92">
        <f>'Fund Cover Sheets'!D126</f>
        <v>2574</v>
      </c>
      <c r="E20" s="92">
        <f>'Fund Cover Sheets'!E126</f>
        <v>-18345</v>
      </c>
      <c r="F20" s="92">
        <f>'Fund Cover Sheets'!F126</f>
        <v>-30994</v>
      </c>
      <c r="G20" s="92">
        <f>'Fund Cover Sheets'!G126</f>
        <v>-49980</v>
      </c>
      <c r="H20" s="92">
        <f>'Fund Cover Sheets'!H126</f>
        <v>-41699</v>
      </c>
      <c r="I20" s="92">
        <f>'Fund Cover Sheets'!I126</f>
        <v>-34024</v>
      </c>
      <c r="J20" s="92">
        <f>'Fund Cover Sheets'!J126</f>
        <v>-26985</v>
      </c>
      <c r="K20" s="92">
        <f>'Fund Cover Sheets'!K126</f>
        <v>-20614</v>
      </c>
    </row>
    <row r="21" spans="1:11">
      <c r="A21" s="72"/>
      <c r="B21" s="69"/>
      <c r="C21" s="73"/>
      <c r="D21" s="73"/>
      <c r="E21" s="73"/>
      <c r="F21" s="73"/>
      <c r="G21" s="73"/>
      <c r="H21" s="73"/>
      <c r="I21" s="73"/>
      <c r="J21" s="73"/>
      <c r="K21" s="73"/>
    </row>
    <row r="22" spans="1:11">
      <c r="A22" s="72"/>
      <c r="B22" s="69"/>
      <c r="C22" s="73"/>
      <c r="D22" s="73"/>
      <c r="E22" s="73"/>
      <c r="F22" s="73"/>
      <c r="G22" s="73"/>
      <c r="H22" s="73"/>
      <c r="I22" s="73"/>
      <c r="J22" s="73"/>
      <c r="K22" s="73"/>
    </row>
    <row r="23" spans="1:11">
      <c r="A23" s="72"/>
      <c r="B23" s="69"/>
      <c r="C23" s="92"/>
      <c r="D23" s="92"/>
      <c r="E23" s="92"/>
      <c r="F23" s="92"/>
      <c r="G23" s="92"/>
      <c r="H23" s="92"/>
      <c r="I23" s="92"/>
      <c r="J23" s="92"/>
      <c r="K23" s="92"/>
    </row>
    <row r="24" spans="1:11" ht="24" customHeight="1">
      <c r="A24" s="71" t="s">
        <v>900</v>
      </c>
      <c r="B24" s="64"/>
      <c r="C24" s="92">
        <f>'Fund Cover Sheets'!C407</f>
        <v>12046</v>
      </c>
      <c r="D24" s="92">
        <f>'Fund Cover Sheets'!D407</f>
        <v>5319</v>
      </c>
      <c r="E24" s="92">
        <f>'Fund Cover Sheets'!E407</f>
        <v>6207</v>
      </c>
      <c r="F24" s="92">
        <f>'Fund Cover Sheets'!F407</f>
        <v>8645</v>
      </c>
      <c r="G24" s="92">
        <f>'Fund Cover Sheets'!G407</f>
        <v>0</v>
      </c>
      <c r="H24" s="92">
        <f>'Fund Cover Sheets'!H407</f>
        <v>0</v>
      </c>
      <c r="I24" s="92">
        <f>'Fund Cover Sheets'!I407</f>
        <v>0</v>
      </c>
      <c r="J24" s="92">
        <f>'Fund Cover Sheets'!J407</f>
        <v>0</v>
      </c>
      <c r="K24" s="92">
        <f>'Fund Cover Sheets'!K407</f>
        <v>0</v>
      </c>
    </row>
    <row r="25" spans="1:11">
      <c r="A25" s="71"/>
      <c r="B25" s="64"/>
      <c r="C25" s="92"/>
      <c r="D25" s="92"/>
      <c r="E25" s="92"/>
      <c r="F25" s="92"/>
      <c r="G25" s="92"/>
      <c r="H25" s="92"/>
      <c r="I25" s="92"/>
      <c r="J25" s="92"/>
      <c r="K25" s="92"/>
    </row>
    <row r="26" spans="1:11">
      <c r="A26" s="71"/>
      <c r="B26" s="64"/>
      <c r="C26" s="92"/>
      <c r="D26" s="92"/>
      <c r="E26" s="92"/>
      <c r="F26" s="92"/>
      <c r="G26" s="92"/>
      <c r="H26" s="92"/>
      <c r="I26" s="92"/>
      <c r="J26" s="92"/>
      <c r="K26" s="92"/>
    </row>
    <row r="27" spans="1:11">
      <c r="A27" s="72"/>
      <c r="B27" s="64"/>
      <c r="C27" s="92"/>
      <c r="D27" s="92"/>
      <c r="E27" s="92"/>
      <c r="F27" s="92"/>
      <c r="G27" s="92"/>
      <c r="H27" s="92"/>
      <c r="I27" s="92"/>
      <c r="J27" s="92"/>
      <c r="K27" s="92"/>
    </row>
    <row r="28" spans="1:11" ht="24" customHeight="1">
      <c r="A28" s="71" t="s">
        <v>901</v>
      </c>
      <c r="B28" s="64"/>
      <c r="C28" s="92"/>
      <c r="D28" s="92"/>
      <c r="E28" s="92"/>
      <c r="F28" s="92"/>
      <c r="G28" s="92"/>
      <c r="H28" s="92"/>
      <c r="I28" s="92"/>
      <c r="J28" s="92"/>
      <c r="K28" s="92"/>
    </row>
    <row r="29" spans="1:11" ht="24" customHeight="1">
      <c r="A29" s="71"/>
      <c r="B29" s="69" t="s">
        <v>902</v>
      </c>
      <c r="C29" s="92">
        <f>'Fund Cover Sheets'!C216</f>
        <v>-571615</v>
      </c>
      <c r="D29" s="92">
        <f>'Fund Cover Sheets'!D216</f>
        <v>0</v>
      </c>
      <c r="E29" s="92">
        <f>'Fund Cover Sheets'!E216</f>
        <v>0</v>
      </c>
      <c r="F29" s="92">
        <f>'Fund Cover Sheets'!F216</f>
        <v>0</v>
      </c>
      <c r="G29" s="92">
        <f>'Fund Cover Sheets'!G216</f>
        <v>0</v>
      </c>
      <c r="H29" s="92">
        <f>'Fund Cover Sheets'!H216</f>
        <v>0</v>
      </c>
      <c r="I29" s="92">
        <f>'Fund Cover Sheets'!I216</f>
        <v>0</v>
      </c>
      <c r="J29" s="92">
        <f>'Fund Cover Sheets'!J216</f>
        <v>0</v>
      </c>
      <c r="K29" s="92">
        <f>'Fund Cover Sheets'!K216</f>
        <v>0</v>
      </c>
    </row>
    <row r="30" spans="1:11" ht="24" customHeight="1">
      <c r="A30" s="72"/>
      <c r="B30" s="69" t="s">
        <v>1038</v>
      </c>
      <c r="C30" s="92">
        <f>'Fund Cover Sheets'!C361</f>
        <v>175588</v>
      </c>
      <c r="D30" s="92">
        <f>'Fund Cover Sheets'!D361</f>
        <v>147746</v>
      </c>
      <c r="E30" s="92">
        <f>'Fund Cover Sheets'!E361</f>
        <v>0</v>
      </c>
      <c r="F30" s="92">
        <f>'Fund Cover Sheets'!F361</f>
        <v>142568</v>
      </c>
      <c r="G30" s="92">
        <f>'Fund Cover Sheets'!G361</f>
        <v>-1224</v>
      </c>
      <c r="H30" s="92">
        <f>'Fund Cover Sheets'!H361</f>
        <v>-918</v>
      </c>
      <c r="I30" s="92">
        <f>'Fund Cover Sheets'!I361</f>
        <v>-612</v>
      </c>
      <c r="J30" s="92">
        <f>'Fund Cover Sheets'!J361</f>
        <v>-306</v>
      </c>
      <c r="K30" s="92">
        <f>'Fund Cover Sheets'!K361</f>
        <v>0</v>
      </c>
    </row>
    <row r="31" spans="1:11" ht="24" customHeight="1">
      <c r="A31" s="72"/>
      <c r="B31" s="69" t="s">
        <v>904</v>
      </c>
      <c r="C31" s="92">
        <f>'Fund Cover Sheets'!C275</f>
        <v>328726</v>
      </c>
      <c r="D31" s="92">
        <f>'Fund Cover Sheets'!D275</f>
        <v>676555</v>
      </c>
      <c r="E31" s="92">
        <f>'Fund Cover Sheets'!E275</f>
        <v>4662971</v>
      </c>
      <c r="F31" s="92">
        <f>'Fund Cover Sheets'!F275</f>
        <v>4974078</v>
      </c>
      <c r="G31" s="92">
        <f>'Fund Cover Sheets'!G275</f>
        <v>831196</v>
      </c>
      <c r="H31" s="92">
        <f>'Fund Cover Sheets'!H275</f>
        <v>540614</v>
      </c>
      <c r="I31" s="92">
        <f>'Fund Cover Sheets'!I275</f>
        <v>0</v>
      </c>
      <c r="J31" s="92">
        <f>'Fund Cover Sheets'!J275</f>
        <v>0</v>
      </c>
      <c r="K31" s="92">
        <f>'Fund Cover Sheets'!K275</f>
        <v>0</v>
      </c>
    </row>
    <row r="32" spans="1:11">
      <c r="A32" s="72"/>
      <c r="B32" s="69"/>
      <c r="C32" s="92"/>
      <c r="D32" s="92"/>
      <c r="E32" s="92"/>
      <c r="F32" s="92"/>
      <c r="G32" s="92"/>
      <c r="H32" s="92"/>
      <c r="I32" s="92"/>
      <c r="J32" s="92"/>
      <c r="K32" s="92"/>
    </row>
    <row r="33" spans="1:11">
      <c r="A33" s="72"/>
      <c r="B33" s="69"/>
      <c r="C33" s="92"/>
      <c r="D33" s="92"/>
      <c r="E33" s="92"/>
      <c r="F33" s="92"/>
      <c r="G33" s="92"/>
      <c r="H33" s="92"/>
      <c r="I33" s="92"/>
      <c r="J33" s="92"/>
      <c r="K33" s="92"/>
    </row>
    <row r="34" spans="1:11">
      <c r="A34" s="1"/>
      <c r="B34" s="69"/>
      <c r="C34" s="92"/>
      <c r="D34" s="92"/>
      <c r="E34" s="92"/>
      <c r="F34" s="92"/>
      <c r="G34" s="92"/>
      <c r="H34" s="92"/>
      <c r="I34" s="92"/>
      <c r="J34" s="92"/>
      <c r="K34" s="92"/>
    </row>
    <row r="35" spans="1:11" ht="24" customHeight="1">
      <c r="A35" s="71" t="s">
        <v>951</v>
      </c>
      <c r="B35" s="69"/>
      <c r="C35" s="92"/>
      <c r="D35" s="92"/>
      <c r="E35" s="92"/>
      <c r="F35" s="92"/>
      <c r="G35" s="92"/>
      <c r="H35" s="92"/>
      <c r="I35" s="92"/>
      <c r="J35" s="92"/>
      <c r="K35" s="92"/>
    </row>
    <row r="36" spans="1:11" ht="24" customHeight="1">
      <c r="A36" s="1"/>
      <c r="B36" s="69" t="s">
        <v>679</v>
      </c>
      <c r="C36" s="92">
        <f>'Fund Cover Sheets'!C460</f>
        <v>1526679</v>
      </c>
      <c r="D36" s="92">
        <f>'Fund Cover Sheets'!D460</f>
        <v>1350923</v>
      </c>
      <c r="E36" s="92">
        <f>'Fund Cover Sheets'!E460</f>
        <v>976762</v>
      </c>
      <c r="F36" s="92">
        <f>'Fund Cover Sheets'!F460</f>
        <v>834203</v>
      </c>
      <c r="G36" s="92">
        <f>'Fund Cover Sheets'!G460</f>
        <v>558007</v>
      </c>
      <c r="H36" s="92">
        <f>'Fund Cover Sheets'!H460</f>
        <v>839893</v>
      </c>
      <c r="I36" s="92">
        <f>'Fund Cover Sheets'!I460</f>
        <v>668701</v>
      </c>
      <c r="J36" s="92">
        <f>'Fund Cover Sheets'!J460</f>
        <v>287526</v>
      </c>
      <c r="K36" s="92">
        <f>'Fund Cover Sheets'!K460</f>
        <v>-249574</v>
      </c>
    </row>
    <row r="37" spans="1:11" ht="24" customHeight="1">
      <c r="A37" s="1"/>
      <c r="B37" s="69" t="s">
        <v>680</v>
      </c>
      <c r="C37" s="92">
        <f>'Fund Cover Sheets'!C515</f>
        <v>2993332</v>
      </c>
      <c r="D37" s="92">
        <f>'Fund Cover Sheets'!D515</f>
        <v>2879170</v>
      </c>
      <c r="E37" s="92">
        <f>'Fund Cover Sheets'!E515</f>
        <v>1959540</v>
      </c>
      <c r="F37" s="92">
        <f>'Fund Cover Sheets'!F515</f>
        <v>1793626</v>
      </c>
      <c r="G37" s="92">
        <f>'Fund Cover Sheets'!G515</f>
        <v>1368893</v>
      </c>
      <c r="H37" s="92">
        <f>'Fund Cover Sheets'!H515</f>
        <v>946344</v>
      </c>
      <c r="I37" s="92">
        <f>'Fund Cover Sheets'!I515</f>
        <v>517248</v>
      </c>
      <c r="J37" s="92">
        <f>'Fund Cover Sheets'!J515</f>
        <v>77567</v>
      </c>
      <c r="K37" s="92">
        <f>'Fund Cover Sheets'!K515</f>
        <v>178243</v>
      </c>
    </row>
    <row r="38" spans="1:11" ht="24" customHeight="1">
      <c r="A38" s="1"/>
      <c r="B38" s="69" t="s">
        <v>611</v>
      </c>
      <c r="C38" s="92">
        <f>'Fund Cover Sheets'!C668</f>
        <v>-300420</v>
      </c>
      <c r="D38" s="92">
        <f>'Fund Cover Sheets'!D668</f>
        <v>0</v>
      </c>
      <c r="E38" s="92">
        <f>'Fund Cover Sheets'!E668</f>
        <v>0</v>
      </c>
      <c r="F38" s="92">
        <f>'Fund Cover Sheets'!F668</f>
        <v>0</v>
      </c>
      <c r="G38" s="92">
        <f>'Fund Cover Sheets'!G668</f>
        <v>0</v>
      </c>
      <c r="H38" s="92">
        <f>'Fund Cover Sheets'!H668</f>
        <v>0</v>
      </c>
      <c r="I38" s="92">
        <f>'Fund Cover Sheets'!I668</f>
        <v>0</v>
      </c>
      <c r="J38" s="92">
        <f>'Fund Cover Sheets'!J668</f>
        <v>0</v>
      </c>
      <c r="K38" s="92">
        <f>'Fund Cover Sheets'!K668</f>
        <v>0</v>
      </c>
    </row>
    <row r="39" spans="1:11">
      <c r="A39" s="1"/>
      <c r="B39" s="69"/>
      <c r="C39" s="92"/>
      <c r="D39" s="92"/>
      <c r="E39" s="92"/>
      <c r="F39" s="92"/>
      <c r="G39" s="92"/>
      <c r="H39" s="92"/>
      <c r="I39" s="92"/>
      <c r="J39" s="92"/>
      <c r="K39" s="92"/>
    </row>
    <row r="40" spans="1:11">
      <c r="A40" s="1"/>
      <c r="B40" s="69"/>
      <c r="C40" s="92"/>
      <c r="D40" s="92"/>
      <c r="E40" s="92"/>
      <c r="F40" s="92"/>
      <c r="G40" s="92"/>
      <c r="H40" s="92"/>
      <c r="I40" s="92"/>
      <c r="J40" s="92"/>
      <c r="K40" s="92"/>
    </row>
    <row r="41" spans="1:11">
      <c r="A41" s="1"/>
      <c r="B41" s="69"/>
      <c r="C41" s="92"/>
      <c r="D41" s="92"/>
      <c r="E41" s="92"/>
      <c r="F41" s="92"/>
      <c r="G41" s="92"/>
      <c r="H41" s="92"/>
      <c r="I41" s="92"/>
      <c r="J41" s="92"/>
      <c r="K41" s="92"/>
    </row>
    <row r="42" spans="1:11" ht="24" customHeight="1">
      <c r="A42" s="71" t="s">
        <v>906</v>
      </c>
      <c r="B42" s="69"/>
      <c r="C42" s="92"/>
      <c r="D42" s="92"/>
      <c r="E42" s="92"/>
      <c r="F42" s="92"/>
      <c r="G42" s="92"/>
      <c r="H42" s="92"/>
      <c r="I42" s="92"/>
      <c r="J42" s="92"/>
      <c r="K42" s="92"/>
    </row>
    <row r="43" spans="1:11" ht="24" customHeight="1">
      <c r="A43" s="71"/>
      <c r="B43" s="69" t="s">
        <v>670</v>
      </c>
      <c r="C43" s="92">
        <f>'Fund Cover Sheets'!C724</f>
        <v>446136</v>
      </c>
      <c r="D43" s="92">
        <f>'Fund Cover Sheets'!D724</f>
        <v>471076</v>
      </c>
      <c r="E43" s="92">
        <f>'Fund Cover Sheets'!E724</f>
        <v>354783</v>
      </c>
      <c r="F43" s="92">
        <f>'Fund Cover Sheets'!F724</f>
        <v>387693</v>
      </c>
      <c r="G43" s="92">
        <f>'Fund Cover Sheets'!G724</f>
        <v>392989</v>
      </c>
      <c r="H43" s="92">
        <f>'Fund Cover Sheets'!H724</f>
        <v>402401</v>
      </c>
      <c r="I43" s="92">
        <f>'Fund Cover Sheets'!I724</f>
        <v>407280</v>
      </c>
      <c r="J43" s="92">
        <f>'Fund Cover Sheets'!J724</f>
        <v>401908</v>
      </c>
      <c r="K43" s="92">
        <f>'Fund Cover Sheets'!K724</f>
        <v>390518</v>
      </c>
    </row>
    <row r="44" spans="1:11" ht="24" customHeight="1">
      <c r="A44" s="71"/>
      <c r="B44" s="69" t="s">
        <v>586</v>
      </c>
      <c r="C44" s="92">
        <f>'Fund Cover Sheets'!C771</f>
        <v>0</v>
      </c>
      <c r="D44" s="92">
        <f>'Fund Cover Sheets'!D771</f>
        <v>0</v>
      </c>
      <c r="E44" s="92">
        <f>'Fund Cover Sheets'!E771</f>
        <v>30</v>
      </c>
      <c r="F44" s="92">
        <f>'Fund Cover Sheets'!F771</f>
        <v>0</v>
      </c>
      <c r="G44" s="92">
        <f>'Fund Cover Sheets'!G771</f>
        <v>30</v>
      </c>
      <c r="H44" s="92">
        <f>'Fund Cover Sheets'!H771</f>
        <v>30</v>
      </c>
      <c r="I44" s="92">
        <f>'Fund Cover Sheets'!I771</f>
        <v>30</v>
      </c>
      <c r="J44" s="92">
        <f>'Fund Cover Sheets'!J771</f>
        <v>30</v>
      </c>
      <c r="K44" s="92">
        <f>'Fund Cover Sheets'!K771</f>
        <v>30</v>
      </c>
    </row>
    <row r="45" spans="1:11" ht="24" customHeight="1">
      <c r="A45" s="71"/>
      <c r="B45" s="69" t="s">
        <v>907</v>
      </c>
      <c r="C45" s="92">
        <f>'Fund Cover Sheets'!C817</f>
        <v>15689</v>
      </c>
      <c r="D45" s="92">
        <f>'Fund Cover Sheets'!D817</f>
        <v>26870</v>
      </c>
      <c r="E45" s="92">
        <f>'Fund Cover Sheets'!E817</f>
        <v>0</v>
      </c>
      <c r="F45" s="92">
        <f>'Fund Cover Sheets'!F817</f>
        <v>-8135</v>
      </c>
      <c r="G45" s="92">
        <f>'Fund Cover Sheets'!G817</f>
        <v>-10</v>
      </c>
      <c r="H45" s="92">
        <f>'Fund Cover Sheets'!H817</f>
        <v>0</v>
      </c>
      <c r="I45" s="92">
        <f>'Fund Cover Sheets'!I817</f>
        <v>0</v>
      </c>
      <c r="J45" s="92">
        <f>'Fund Cover Sheets'!J817</f>
        <v>0</v>
      </c>
      <c r="K45" s="92">
        <f>'Fund Cover Sheets'!K817</f>
        <v>0</v>
      </c>
    </row>
    <row r="46" spans="1:11">
      <c r="A46" s="71"/>
      <c r="B46" s="69"/>
      <c r="C46" s="92"/>
      <c r="D46" s="92"/>
      <c r="E46" s="92"/>
      <c r="F46" s="92"/>
      <c r="G46" s="92"/>
      <c r="H46" s="92"/>
      <c r="I46" s="92"/>
      <c r="J46" s="92"/>
      <c r="K46" s="92"/>
    </row>
    <row r="47" spans="1:11">
      <c r="B47" s="74"/>
      <c r="C47" s="111"/>
      <c r="D47" s="112"/>
      <c r="E47" s="112"/>
      <c r="F47" s="112"/>
      <c r="G47" s="109"/>
      <c r="H47" s="109"/>
      <c r="I47" s="108"/>
      <c r="J47" s="108"/>
      <c r="K47" s="108"/>
    </row>
    <row r="48" spans="1:11" ht="24" customHeight="1" thickBot="1">
      <c r="B48" s="99" t="s">
        <v>949</v>
      </c>
      <c r="C48" s="101">
        <f t="shared" ref="C48:J48" si="0">SUM(C9:C47)</f>
        <v>12266413</v>
      </c>
      <c r="D48" s="101">
        <f t="shared" si="0"/>
        <v>10894315</v>
      </c>
      <c r="E48" s="101">
        <f>SUM(E9:E47)</f>
        <v>12239196</v>
      </c>
      <c r="F48" s="101">
        <f t="shared" si="0"/>
        <v>13276317</v>
      </c>
      <c r="G48" s="101">
        <f t="shared" si="0"/>
        <v>7223687</v>
      </c>
      <c r="H48" s="101">
        <f t="shared" si="0"/>
        <v>6385540</v>
      </c>
      <c r="I48" s="101">
        <f t="shared" si="0"/>
        <v>4243243</v>
      </c>
      <c r="J48" s="101">
        <f t="shared" si="0"/>
        <v>2064356</v>
      </c>
      <c r="K48" s="101">
        <f>SUM(K9:K47)</f>
        <v>-257368</v>
      </c>
    </row>
    <row r="49" spans="1:12" ht="15.75" thickTop="1">
      <c r="B49" s="1"/>
      <c r="C49" s="45"/>
      <c r="D49" s="108"/>
      <c r="E49" s="108"/>
      <c r="F49" s="108"/>
      <c r="G49" s="108"/>
      <c r="H49" s="108"/>
      <c r="I49" s="108"/>
      <c r="J49" s="108"/>
      <c r="K49" s="108"/>
    </row>
    <row r="50" spans="1:12">
      <c r="A50" s="113" t="s">
        <v>952</v>
      </c>
      <c r="B50" s="114" t="s">
        <v>1053</v>
      </c>
      <c r="C50" s="45"/>
      <c r="D50" s="108"/>
      <c r="E50" s="108"/>
      <c r="F50" s="108"/>
      <c r="G50" s="108"/>
      <c r="H50" s="108"/>
      <c r="I50" s="108"/>
      <c r="J50" s="108"/>
      <c r="K50" s="108"/>
    </row>
    <row r="51" spans="1:12">
      <c r="B51" s="1"/>
      <c r="C51" s="45"/>
      <c r="D51" s="108"/>
      <c r="E51" s="108"/>
      <c r="F51" s="108"/>
      <c r="G51" s="108"/>
      <c r="H51" s="108"/>
      <c r="I51" s="108"/>
      <c r="J51" s="108"/>
      <c r="K51" s="108"/>
    </row>
    <row r="52" spans="1:12">
      <c r="B52" s="1"/>
      <c r="C52" s="45"/>
      <c r="D52" s="108"/>
      <c r="E52" s="108"/>
      <c r="F52" s="108"/>
      <c r="G52" s="108"/>
      <c r="H52" s="108"/>
      <c r="I52" s="108"/>
      <c r="J52" s="108"/>
      <c r="K52" s="108"/>
    </row>
    <row r="53" spans="1:12" s="371" customFormat="1" hidden="1">
      <c r="A53" s="126"/>
      <c r="B53" s="179"/>
      <c r="C53" s="370">
        <f>'Budget Detail FY 2013-20'!L1126+'Budget Detail FY 2013-20'!L1147+'Budget Detail FY 2013-20'!L1168</f>
        <v>12266413</v>
      </c>
      <c r="D53" s="370">
        <f>'Budget Detail FY 2013-20'!M1126+'Budget Detail FY 2013-20'!M1147+'Budget Detail FY 2013-20'!M1168</f>
        <v>10894315</v>
      </c>
      <c r="E53" s="370">
        <f>'Budget Detail FY 2013-20'!N1126+'Budget Detail FY 2013-20'!N1147+'Budget Detail FY 2013-20'!N1168</f>
        <v>12239196</v>
      </c>
      <c r="F53" s="370">
        <f>'Budget Detail FY 2013-20'!O1126+'Budget Detail FY 2013-20'!O1147+'Budget Detail FY 2013-20'!O1168</f>
        <v>13276317</v>
      </c>
      <c r="G53" s="370">
        <f>'Budget Detail FY 2013-20'!P1126+'Budget Detail FY 2013-20'!P1147+'Budget Detail FY 2013-20'!P1168</f>
        <v>7223687</v>
      </c>
      <c r="H53" s="370">
        <f>'Budget Detail FY 2013-20'!Q1126+'Budget Detail FY 2013-20'!Q1147+'Budget Detail FY 2013-20'!Q1168</f>
        <v>6385540</v>
      </c>
      <c r="I53" s="370">
        <f>'Budget Detail FY 2013-20'!R1126+'Budget Detail FY 2013-20'!R1147+'Budget Detail FY 2013-20'!R1168</f>
        <v>4243243</v>
      </c>
      <c r="J53" s="370">
        <f>'Budget Detail FY 2013-20'!S1126+'Budget Detail FY 2013-20'!S1147+'Budget Detail FY 2013-20'!S1168</f>
        <v>2064356</v>
      </c>
      <c r="K53" s="370">
        <f>'Budget Detail FY 2013-20'!T1126+'Budget Detail FY 2013-20'!T1147+'Budget Detail FY 2013-20'!T1168</f>
        <v>-257368</v>
      </c>
      <c r="L53" s="362" t="s">
        <v>1137</v>
      </c>
    </row>
    <row r="54" spans="1:12" s="369" customFormat="1" hidden="1">
      <c r="A54" s="129"/>
      <c r="B54" s="180"/>
      <c r="C54" s="149">
        <f>C48-C53</f>
        <v>0</v>
      </c>
      <c r="D54" s="149">
        <f t="shared" ref="D54:K54" si="1">D48-D53</f>
        <v>0</v>
      </c>
      <c r="E54" s="149">
        <f t="shared" si="1"/>
        <v>0</v>
      </c>
      <c r="F54" s="149">
        <f t="shared" si="1"/>
        <v>0</v>
      </c>
      <c r="G54" s="149">
        <f t="shared" si="1"/>
        <v>0</v>
      </c>
      <c r="H54" s="149">
        <f t="shared" si="1"/>
        <v>0</v>
      </c>
      <c r="I54" s="149">
        <f t="shared" si="1"/>
        <v>0</v>
      </c>
      <c r="J54" s="149">
        <f t="shared" si="1"/>
        <v>0</v>
      </c>
      <c r="K54" s="149">
        <f t="shared" si="1"/>
        <v>0</v>
      </c>
      <c r="L54" s="354" t="s">
        <v>1138</v>
      </c>
    </row>
    <row r="55" spans="1:12">
      <c r="B55" s="1"/>
      <c r="C55" s="45"/>
      <c r="D55" s="108"/>
      <c r="E55" s="108"/>
      <c r="F55" s="108"/>
      <c r="G55" s="108"/>
      <c r="H55" s="108"/>
      <c r="I55" s="108"/>
      <c r="J55" s="108"/>
      <c r="K55" s="108"/>
    </row>
    <row r="56" spans="1:12">
      <c r="B56" s="1"/>
      <c r="C56" s="45"/>
      <c r="D56" s="108"/>
      <c r="E56" s="108"/>
      <c r="F56" s="108"/>
      <c r="G56" s="108"/>
      <c r="H56" s="108"/>
      <c r="I56" s="108"/>
      <c r="J56" s="108"/>
      <c r="K56" s="108"/>
    </row>
    <row r="57" spans="1:12">
      <c r="C57" s="45"/>
      <c r="D57" s="108"/>
      <c r="E57" s="108"/>
      <c r="F57" s="108"/>
      <c r="G57" s="108"/>
      <c r="H57" s="108"/>
      <c r="I57" s="108"/>
      <c r="J57" s="108"/>
      <c r="K57" s="108"/>
    </row>
    <row r="58" spans="1:12">
      <c r="C58" s="45"/>
      <c r="D58" s="108"/>
      <c r="E58" s="108"/>
      <c r="F58" s="108"/>
      <c r="G58" s="108"/>
      <c r="H58" s="108"/>
      <c r="I58" s="108"/>
      <c r="J58" s="108"/>
      <c r="K58" s="108"/>
    </row>
    <row r="59" spans="1:12">
      <c r="C59" s="45"/>
      <c r="D59" s="108"/>
      <c r="E59" s="108"/>
      <c r="F59" s="108"/>
      <c r="G59" s="108"/>
      <c r="H59" s="108"/>
      <c r="I59" s="108"/>
      <c r="J59" s="108"/>
      <c r="K59" s="108"/>
    </row>
    <row r="60" spans="1:12">
      <c r="C60" s="45"/>
      <c r="D60" s="108"/>
      <c r="E60" s="108"/>
      <c r="F60" s="108"/>
      <c r="G60" s="108"/>
      <c r="H60" s="108"/>
      <c r="I60" s="108"/>
      <c r="J60" s="108"/>
      <c r="K60" s="108"/>
    </row>
    <row r="61" spans="1:12">
      <c r="C61" s="45"/>
      <c r="D61" s="108"/>
      <c r="E61" s="108"/>
      <c r="F61" s="108"/>
      <c r="G61" s="108"/>
      <c r="H61" s="108"/>
      <c r="I61" s="108"/>
      <c r="J61" s="108"/>
      <c r="K61" s="108"/>
    </row>
    <row r="62" spans="1:12">
      <c r="C62" s="45"/>
      <c r="D62" s="108"/>
      <c r="E62" s="108"/>
      <c r="F62" s="108"/>
      <c r="G62" s="108"/>
      <c r="H62" s="108"/>
      <c r="I62" s="108"/>
      <c r="J62" s="108"/>
      <c r="K62" s="108"/>
    </row>
    <row r="63" spans="1:12">
      <c r="C63" s="45"/>
      <c r="D63" s="108"/>
      <c r="E63" s="108"/>
      <c r="F63" s="108"/>
      <c r="G63" s="108"/>
      <c r="H63" s="108"/>
      <c r="I63" s="108"/>
      <c r="J63" s="108"/>
      <c r="K63" s="108"/>
    </row>
    <row r="64" spans="1:12">
      <c r="C64" s="45"/>
      <c r="D64" s="108"/>
      <c r="E64" s="108"/>
      <c r="F64" s="108"/>
      <c r="G64" s="108"/>
      <c r="H64" s="108"/>
      <c r="I64" s="108"/>
      <c r="J64" s="108"/>
      <c r="K64" s="108"/>
    </row>
    <row r="65" spans="3:11" s="103" customFormat="1">
      <c r="C65" s="45"/>
      <c r="D65" s="108"/>
      <c r="E65" s="108"/>
      <c r="F65" s="108"/>
      <c r="G65" s="108"/>
      <c r="H65" s="108"/>
      <c r="I65" s="108"/>
      <c r="J65" s="108"/>
      <c r="K65" s="108"/>
    </row>
    <row r="66" spans="3:11" s="103" customFormat="1">
      <c r="C66" s="45"/>
      <c r="D66" s="108"/>
      <c r="E66" s="108"/>
      <c r="F66" s="108"/>
      <c r="G66" s="108"/>
      <c r="H66" s="108"/>
      <c r="I66" s="108"/>
      <c r="J66" s="108"/>
      <c r="K66" s="108"/>
    </row>
    <row r="67" spans="3:11" s="103" customFormat="1">
      <c r="C67" s="45"/>
      <c r="D67" s="108"/>
      <c r="E67" s="108"/>
      <c r="F67" s="108"/>
      <c r="G67" s="108"/>
      <c r="H67" s="108"/>
      <c r="I67" s="108"/>
      <c r="J67" s="108"/>
      <c r="K67" s="108"/>
    </row>
    <row r="68" spans="3:11" s="103" customFormat="1">
      <c r="C68" s="45"/>
      <c r="D68" s="108"/>
      <c r="E68" s="108"/>
      <c r="F68" s="108"/>
      <c r="G68" s="108"/>
      <c r="H68" s="108"/>
      <c r="I68" s="108"/>
      <c r="J68" s="108"/>
      <c r="K68" s="108"/>
    </row>
    <row r="69" spans="3:11" s="103" customFormat="1">
      <c r="C69" s="45"/>
      <c r="D69" s="108"/>
      <c r="E69" s="108"/>
      <c r="F69" s="108"/>
      <c r="G69" s="108"/>
      <c r="H69" s="108"/>
      <c r="I69" s="108"/>
      <c r="J69" s="108"/>
      <c r="K69" s="108"/>
    </row>
    <row r="70" spans="3:11" s="103" customFormat="1">
      <c r="C70" s="45"/>
      <c r="D70" s="108"/>
      <c r="E70" s="108"/>
      <c r="F70" s="108"/>
      <c r="G70" s="108"/>
      <c r="H70" s="108"/>
      <c r="I70" s="108"/>
      <c r="J70" s="108"/>
      <c r="K70" s="108"/>
    </row>
    <row r="71" spans="3:11" s="103" customFormat="1">
      <c r="C71" s="45"/>
      <c r="D71" s="108"/>
      <c r="E71" s="108"/>
      <c r="F71" s="108"/>
      <c r="G71" s="108"/>
      <c r="H71" s="108"/>
      <c r="I71" s="108"/>
      <c r="J71" s="108"/>
      <c r="K71" s="108"/>
    </row>
    <row r="72" spans="3:11" s="103" customFormat="1">
      <c r="C72" s="45"/>
      <c r="D72" s="108"/>
      <c r="E72" s="108"/>
      <c r="F72" s="108"/>
      <c r="G72" s="108"/>
      <c r="H72" s="108"/>
      <c r="I72" s="108"/>
      <c r="J72" s="108"/>
      <c r="K72" s="108"/>
    </row>
    <row r="73" spans="3:11" s="103" customFormat="1">
      <c r="C73" s="45"/>
      <c r="D73" s="108"/>
      <c r="E73" s="108"/>
      <c r="F73" s="108"/>
      <c r="G73" s="108"/>
      <c r="H73" s="108"/>
      <c r="I73" s="108"/>
      <c r="J73" s="108"/>
      <c r="K73" s="108"/>
    </row>
    <row r="74" spans="3:11" s="103" customFormat="1">
      <c r="C74" s="45"/>
      <c r="D74" s="108"/>
      <c r="E74" s="108"/>
      <c r="F74" s="108"/>
      <c r="G74" s="108"/>
      <c r="H74" s="108"/>
      <c r="I74" s="108"/>
      <c r="J74" s="108"/>
      <c r="K74" s="108"/>
    </row>
    <row r="75" spans="3:11" s="103" customFormat="1">
      <c r="C75" s="45"/>
      <c r="D75" s="108"/>
      <c r="E75" s="108"/>
      <c r="F75" s="108"/>
      <c r="G75" s="108"/>
      <c r="H75" s="108"/>
      <c r="I75" s="108"/>
      <c r="J75" s="108"/>
      <c r="K75" s="108"/>
    </row>
    <row r="76" spans="3:11" s="103" customFormat="1">
      <c r="C76" s="45"/>
      <c r="D76" s="108"/>
      <c r="E76" s="108"/>
      <c r="F76" s="108"/>
      <c r="G76" s="108"/>
      <c r="H76" s="108"/>
      <c r="I76" s="108"/>
      <c r="J76" s="108"/>
      <c r="K76" s="108"/>
    </row>
    <row r="77" spans="3:11" s="103" customFormat="1">
      <c r="C77" s="10"/>
      <c r="D77" s="39"/>
      <c r="E77" s="39"/>
      <c r="F77" s="39"/>
      <c r="G77" s="39"/>
      <c r="H77" s="39"/>
      <c r="I77" s="39"/>
      <c r="J77" s="39"/>
      <c r="K77" s="39"/>
    </row>
    <row r="78" spans="3:11" s="103" customFormat="1">
      <c r="C78" s="10"/>
      <c r="D78" s="39"/>
      <c r="E78" s="39"/>
      <c r="F78" s="39"/>
      <c r="G78" s="39"/>
      <c r="H78" s="39"/>
      <c r="I78" s="39"/>
      <c r="J78" s="39"/>
      <c r="K78" s="39"/>
    </row>
    <row r="79" spans="3:11" s="103" customFormat="1">
      <c r="C79" s="10"/>
      <c r="D79" s="39"/>
      <c r="E79" s="39"/>
      <c r="F79" s="39"/>
      <c r="G79" s="39"/>
      <c r="H79" s="39"/>
      <c r="I79" s="39"/>
      <c r="J79" s="39"/>
      <c r="K79" s="39"/>
    </row>
    <row r="80" spans="3:11" s="103" customFormat="1">
      <c r="C80" s="10"/>
      <c r="D80" s="39"/>
      <c r="E80" s="39"/>
      <c r="F80" s="39"/>
      <c r="G80" s="39"/>
      <c r="H80" s="39"/>
      <c r="I80" s="39"/>
      <c r="J80" s="39"/>
      <c r="K80" s="39"/>
    </row>
    <row r="81" spans="5:11" s="103" customFormat="1">
      <c r="E81" s="39"/>
      <c r="F81" s="39"/>
      <c r="G81" s="39"/>
      <c r="H81" s="39"/>
      <c r="I81" s="39"/>
      <c r="J81" s="39"/>
      <c r="K81" s="39"/>
    </row>
    <row r="82" spans="5:11" s="103" customFormat="1">
      <c r="E82" s="39"/>
      <c r="F82" s="39"/>
      <c r="G82" s="39"/>
      <c r="H82" s="39"/>
      <c r="I82" s="39"/>
      <c r="J82" s="39"/>
      <c r="K82" s="39"/>
    </row>
    <row r="83" spans="5:11" s="103" customFormat="1">
      <c r="E83" s="39"/>
      <c r="F83" s="39"/>
      <c r="G83" s="39"/>
      <c r="H83" s="39"/>
      <c r="I83" s="39"/>
      <c r="J83" s="39"/>
      <c r="K83" s="39"/>
    </row>
    <row r="84" spans="5:11" s="103" customFormat="1">
      <c r="E84" s="39"/>
      <c r="F84" s="39"/>
      <c r="G84" s="39"/>
      <c r="H84" s="39"/>
      <c r="I84" s="39"/>
      <c r="J84" s="39"/>
      <c r="K84" s="39"/>
    </row>
    <row r="85" spans="5:11" s="103" customFormat="1">
      <c r="E85" s="39"/>
      <c r="F85" s="39"/>
      <c r="G85" s="39"/>
      <c r="H85" s="39"/>
      <c r="I85" s="39"/>
      <c r="J85" s="39"/>
      <c r="K85" s="39"/>
    </row>
    <row r="86" spans="5:11" s="103" customFormat="1">
      <c r="E86" s="39"/>
      <c r="F86" s="39"/>
      <c r="G86" s="39"/>
      <c r="H86" s="39"/>
      <c r="I86" s="39"/>
      <c r="J86" s="39"/>
      <c r="K86" s="39"/>
    </row>
    <row r="87" spans="5:11" s="103" customFormat="1">
      <c r="E87" s="39"/>
      <c r="F87" s="39"/>
      <c r="G87" s="39"/>
      <c r="H87" s="39"/>
      <c r="I87" s="39"/>
      <c r="J87" s="39"/>
      <c r="K87" s="39"/>
    </row>
    <row r="88" spans="5:11" s="103" customFormat="1">
      <c r="E88" s="39"/>
      <c r="F88" s="39"/>
      <c r="G88" s="39"/>
      <c r="H88" s="39"/>
      <c r="I88" s="39"/>
      <c r="J88" s="39"/>
      <c r="K88" s="39"/>
    </row>
    <row r="89" spans="5:11" s="103" customFormat="1">
      <c r="E89" s="39"/>
      <c r="F89" s="39"/>
      <c r="G89" s="39"/>
      <c r="H89" s="39"/>
      <c r="I89" s="39"/>
      <c r="J89" s="39"/>
      <c r="K89" s="39"/>
    </row>
    <row r="90" spans="5:11" s="103" customFormat="1">
      <c r="E90" s="39"/>
      <c r="F90" s="39"/>
      <c r="G90" s="39"/>
      <c r="H90" s="39"/>
      <c r="I90" s="39"/>
      <c r="J90" s="39"/>
      <c r="K90" s="39"/>
    </row>
    <row r="91" spans="5:11" s="103" customFormat="1">
      <c r="E91" s="39"/>
      <c r="F91" s="39"/>
      <c r="G91" s="39"/>
      <c r="H91" s="39"/>
      <c r="I91" s="39"/>
      <c r="J91" s="39"/>
      <c r="K91" s="39"/>
    </row>
    <row r="92" spans="5:11" s="103" customFormat="1">
      <c r="E92" s="39"/>
      <c r="F92" s="39"/>
      <c r="G92" s="39"/>
      <c r="H92" s="39"/>
      <c r="I92" s="39"/>
      <c r="J92" s="39"/>
      <c r="K92" s="39"/>
    </row>
    <row r="93" spans="5:11" s="103" customFormat="1">
      <c r="E93" s="39"/>
      <c r="F93" s="39"/>
      <c r="G93" s="39"/>
      <c r="H93" s="39"/>
      <c r="I93" s="39"/>
      <c r="J93" s="39"/>
      <c r="K93" s="39"/>
    </row>
    <row r="94" spans="5:11" s="103" customFormat="1">
      <c r="E94" s="39"/>
      <c r="F94" s="39"/>
      <c r="G94" s="39"/>
      <c r="H94" s="39"/>
      <c r="I94" s="39"/>
      <c r="J94" s="39"/>
      <c r="K94" s="39"/>
    </row>
    <row r="95" spans="5:11" s="103" customFormat="1">
      <c r="E95" s="39"/>
      <c r="F95" s="39"/>
      <c r="G95" s="39"/>
      <c r="H95" s="39"/>
      <c r="I95" s="39"/>
      <c r="J95" s="39"/>
      <c r="K95" s="39"/>
    </row>
    <row r="96" spans="5:11" s="103" customFormat="1">
      <c r="E96" s="39"/>
      <c r="F96" s="39"/>
      <c r="G96" s="39"/>
      <c r="H96" s="39"/>
      <c r="I96" s="39"/>
      <c r="J96" s="39"/>
      <c r="K96" s="39"/>
    </row>
    <row r="97" spans="5:11" s="103" customFormat="1">
      <c r="E97" s="39"/>
      <c r="F97" s="39"/>
      <c r="G97" s="39"/>
      <c r="H97" s="39"/>
      <c r="I97" s="39"/>
      <c r="J97" s="39"/>
      <c r="K97" s="39"/>
    </row>
    <row r="98" spans="5:11" s="103" customFormat="1">
      <c r="E98" s="39"/>
      <c r="F98" s="39"/>
      <c r="G98" s="39"/>
      <c r="H98" s="39"/>
      <c r="I98" s="39"/>
      <c r="J98" s="39"/>
      <c r="K98" s="39"/>
    </row>
    <row r="99" spans="5:11" s="103" customFormat="1">
      <c r="E99" s="39"/>
      <c r="F99" s="39"/>
      <c r="G99" s="39"/>
      <c r="H99" s="39"/>
      <c r="I99" s="39"/>
      <c r="J99" s="39"/>
      <c r="K99" s="39"/>
    </row>
    <row r="100" spans="5:11" s="103" customFormat="1">
      <c r="E100" s="39"/>
      <c r="F100" s="39"/>
      <c r="G100" s="39"/>
      <c r="H100" s="39"/>
      <c r="I100" s="39"/>
      <c r="J100" s="39"/>
      <c r="K100" s="39"/>
    </row>
    <row r="101" spans="5:11" s="103" customFormat="1">
      <c r="E101" s="39"/>
      <c r="F101" s="39"/>
      <c r="G101" s="39"/>
      <c r="H101" s="39"/>
      <c r="I101" s="39"/>
      <c r="J101" s="39"/>
      <c r="K101" s="39"/>
    </row>
    <row r="102" spans="5:11" s="103" customFormat="1">
      <c r="E102" s="39"/>
      <c r="F102" s="39"/>
      <c r="G102" s="39"/>
      <c r="H102" s="39"/>
      <c r="I102" s="39"/>
      <c r="J102" s="39"/>
      <c r="K102" s="39"/>
    </row>
    <row r="103" spans="5:11" s="103" customFormat="1">
      <c r="E103" s="39"/>
      <c r="F103" s="39"/>
      <c r="G103" s="39"/>
      <c r="H103" s="39"/>
      <c r="I103" s="39"/>
      <c r="J103" s="39"/>
      <c r="K103" s="39"/>
    </row>
  </sheetData>
  <mergeCells count="3">
    <mergeCell ref="A1:K1"/>
    <mergeCell ref="A2:K2"/>
    <mergeCell ref="A3:K3"/>
  </mergeCells>
  <printOptions horizontalCentered="1"/>
  <pageMargins left="0.5" right="0.1" top="0.5" bottom="0" header="0" footer="0"/>
  <pageSetup scale="70" orientation="portrait" r:id="rId1"/>
</worksheet>
</file>

<file path=xl/worksheets/sheet4.xml><?xml version="1.0" encoding="utf-8"?>
<worksheet xmlns="http://schemas.openxmlformats.org/spreadsheetml/2006/main" xmlns:r="http://schemas.openxmlformats.org/officeDocument/2006/relationships">
  <dimension ref="A1:Q71"/>
  <sheetViews>
    <sheetView zoomScaleNormal="100" workbookViewId="0">
      <selection activeCell="L53" sqref="L53"/>
    </sheetView>
  </sheetViews>
  <sheetFormatPr defaultColWidth="10.42578125" defaultRowHeight="15"/>
  <cols>
    <col min="1" max="1" width="2.7109375" style="39" customWidth="1"/>
    <col min="2" max="2" width="26.7109375" style="10" customWidth="1"/>
    <col min="3" max="3" width="2.7109375" style="10" customWidth="1"/>
    <col min="4" max="4" width="12.7109375" style="10" customWidth="1"/>
    <col min="5" max="5" width="2.7109375" style="10" customWidth="1"/>
    <col min="6" max="6" width="12.7109375" style="10" customWidth="1"/>
    <col min="7" max="7" width="2.7109375" style="10" customWidth="1"/>
    <col min="8" max="8" width="12.7109375" style="10" customWidth="1"/>
    <col min="9" max="9" width="2.7109375" style="10" customWidth="1"/>
    <col min="10" max="10" width="12.7109375" style="10" customWidth="1"/>
    <col min="11" max="11" width="2.7109375" style="10" customWidth="1"/>
    <col min="12" max="12" width="12.7109375" style="39" customWidth="1"/>
    <col min="13" max="13" width="6.85546875" style="87" customWidth="1"/>
    <col min="14" max="14" width="12.28515625" style="39" hidden="1" customWidth="1"/>
    <col min="15" max="15" width="10.5703125" style="39" hidden="1" customWidth="1"/>
    <col min="16" max="16" width="15.5703125" style="39" hidden="1" customWidth="1"/>
    <col min="17" max="17" width="10.5703125" style="39" hidden="1" customWidth="1"/>
    <col min="18" max="16384" width="10.42578125" style="39"/>
  </cols>
  <sheetData>
    <row r="1" spans="1:13" ht="18.75">
      <c r="B1" s="728" t="s">
        <v>892</v>
      </c>
      <c r="C1" s="728"/>
      <c r="D1" s="728"/>
      <c r="E1" s="728"/>
      <c r="F1" s="728"/>
      <c r="G1" s="728"/>
      <c r="H1" s="728"/>
      <c r="I1" s="728"/>
      <c r="J1" s="728"/>
      <c r="K1" s="728"/>
      <c r="L1" s="728"/>
    </row>
    <row r="2" spans="1:13" ht="22.5">
      <c r="B2" s="729" t="s">
        <v>1341</v>
      </c>
      <c r="C2" s="729"/>
      <c r="D2" s="729"/>
      <c r="E2" s="729"/>
      <c r="F2" s="729"/>
      <c r="G2" s="729"/>
      <c r="H2" s="729"/>
      <c r="I2" s="729"/>
      <c r="J2" s="729"/>
      <c r="K2" s="729"/>
      <c r="L2" s="729"/>
    </row>
    <row r="3" spans="1:13" ht="18.75">
      <c r="B3" s="728" t="s">
        <v>941</v>
      </c>
      <c r="C3" s="728"/>
      <c r="D3" s="728"/>
      <c r="E3" s="728"/>
      <c r="F3" s="728"/>
      <c r="G3" s="728"/>
      <c r="H3" s="728"/>
      <c r="I3" s="728"/>
      <c r="J3" s="728"/>
      <c r="K3" s="728"/>
      <c r="L3" s="728"/>
    </row>
    <row r="4" spans="1:13">
      <c r="B4" s="11"/>
      <c r="C4" s="11"/>
      <c r="D4" s="11"/>
      <c r="E4" s="11"/>
      <c r="F4" s="11"/>
      <c r="G4" s="11"/>
      <c r="H4" s="11"/>
      <c r="I4" s="11"/>
      <c r="J4" s="11"/>
      <c r="K4" s="11"/>
      <c r="L4" s="88"/>
    </row>
    <row r="5" spans="1:13">
      <c r="C5" s="11"/>
      <c r="D5" s="11" t="s">
        <v>942</v>
      </c>
      <c r="E5" s="11"/>
      <c r="F5" s="12" t="s">
        <v>943</v>
      </c>
      <c r="G5" s="11"/>
      <c r="H5" s="11" t="s">
        <v>944</v>
      </c>
      <c r="I5" s="12"/>
      <c r="J5" s="12" t="s">
        <v>945</v>
      </c>
      <c r="K5" s="12"/>
      <c r="L5" s="12" t="s">
        <v>946</v>
      </c>
    </row>
    <row r="6" spans="1:13" ht="15.75" thickBot="1">
      <c r="B6" s="89" t="s">
        <v>894</v>
      </c>
      <c r="C6" s="90"/>
      <c r="D6" s="90" t="s">
        <v>601</v>
      </c>
      <c r="E6" s="89"/>
      <c r="F6" s="89" t="s">
        <v>947</v>
      </c>
      <c r="G6" s="89"/>
      <c r="H6" s="89" t="s">
        <v>598</v>
      </c>
      <c r="I6" s="89"/>
      <c r="J6" s="89" t="s">
        <v>948</v>
      </c>
      <c r="K6" s="89"/>
      <c r="L6" s="89" t="s">
        <v>601</v>
      </c>
    </row>
    <row r="7" spans="1:13">
      <c r="B7" s="21"/>
      <c r="C7" s="91"/>
      <c r="D7" s="91"/>
      <c r="E7" s="21"/>
      <c r="F7" s="21"/>
      <c r="G7" s="21"/>
      <c r="H7" s="21"/>
      <c r="I7" s="21"/>
      <c r="J7" s="21"/>
      <c r="K7" s="21"/>
      <c r="L7" s="21"/>
    </row>
    <row r="8" spans="1:13" ht="24" customHeight="1">
      <c r="A8" s="71" t="s">
        <v>895</v>
      </c>
      <c r="B8" s="1"/>
      <c r="C8" s="77"/>
      <c r="D8" s="92">
        <f>'Fund Cover Sheets'!F39</f>
        <v>4100605</v>
      </c>
      <c r="E8" s="92"/>
      <c r="F8" s="92">
        <f>'Fund Cover Sheets'!G20</f>
        <v>14200637</v>
      </c>
      <c r="G8" s="92"/>
      <c r="H8" s="92">
        <f>'Fund Cover Sheets'!G31</f>
        <v>14190635</v>
      </c>
      <c r="I8" s="92"/>
      <c r="J8" s="92">
        <f>F8-H8</f>
        <v>10002</v>
      </c>
      <c r="K8" s="92"/>
      <c r="L8" s="93">
        <f>D8+J8</f>
        <v>4110607</v>
      </c>
      <c r="M8" s="94"/>
    </row>
    <row r="9" spans="1:13">
      <c r="A9" s="71"/>
      <c r="B9" s="1"/>
      <c r="C9" s="95"/>
      <c r="D9" s="73"/>
      <c r="E9" s="73"/>
      <c r="F9" s="73"/>
      <c r="G9" s="73"/>
      <c r="H9" s="73"/>
      <c r="I9" s="73"/>
      <c r="J9" s="73"/>
      <c r="K9" s="73"/>
      <c r="L9" s="93"/>
      <c r="M9" s="94"/>
    </row>
    <row r="10" spans="1:13" ht="24" customHeight="1">
      <c r="A10" s="71" t="s">
        <v>896</v>
      </c>
      <c r="B10" s="1"/>
      <c r="C10" s="95"/>
      <c r="D10" s="73"/>
      <c r="E10" s="73"/>
      <c r="F10" s="73"/>
      <c r="G10" s="73"/>
      <c r="H10" s="73"/>
      <c r="I10" s="73"/>
      <c r="J10" s="73"/>
      <c r="K10" s="73"/>
      <c r="L10" s="93"/>
      <c r="M10" s="94"/>
    </row>
    <row r="11" spans="1:13" ht="24" customHeight="1">
      <c r="A11" s="71"/>
      <c r="B11" s="1" t="s">
        <v>815</v>
      </c>
      <c r="C11" s="95"/>
      <c r="D11" s="73">
        <f>'Fund Cover Sheets'!F173</f>
        <v>977153</v>
      </c>
      <c r="E11" s="73"/>
      <c r="F11" s="73">
        <f>'Fund Cover Sheets'!G157</f>
        <v>484000</v>
      </c>
      <c r="G11" s="73"/>
      <c r="H11" s="92">
        <f>'Fund Cover Sheets'!G165</f>
        <v>871497</v>
      </c>
      <c r="I11" s="73"/>
      <c r="J11" s="92">
        <f t="shared" ref="J11:J17" si="0">F11-H11</f>
        <v>-387497</v>
      </c>
      <c r="K11" s="73"/>
      <c r="L11" s="93">
        <f t="shared" ref="L11:L19" si="1">D11+J11</f>
        <v>589656</v>
      </c>
      <c r="M11" s="94"/>
    </row>
    <row r="12" spans="1:13" ht="24" customHeight="1">
      <c r="A12" s="72"/>
      <c r="B12" s="69" t="s">
        <v>897</v>
      </c>
      <c r="C12" s="95"/>
      <c r="D12" s="73">
        <f>'Fund Cover Sheets'!F618</f>
        <v>482100</v>
      </c>
      <c r="E12" s="73"/>
      <c r="F12" s="73">
        <f>'Fund Cover Sheets'!G600</f>
        <v>1583231</v>
      </c>
      <c r="G12" s="73"/>
      <c r="H12" s="92">
        <f>'Fund Cover Sheets'!G610</f>
        <v>1795940</v>
      </c>
      <c r="I12" s="73"/>
      <c r="J12" s="92">
        <f t="shared" si="0"/>
        <v>-212709</v>
      </c>
      <c r="K12" s="73"/>
      <c r="L12" s="93">
        <f t="shared" si="1"/>
        <v>269391</v>
      </c>
      <c r="M12" s="94"/>
    </row>
    <row r="13" spans="1:13" ht="24" customHeight="1">
      <c r="A13" s="72"/>
      <c r="B13" s="69" t="s">
        <v>681</v>
      </c>
      <c r="C13" s="95"/>
      <c r="D13" s="73">
        <f>'Fund Cover Sheets'!F566</f>
        <v>-34835</v>
      </c>
      <c r="E13" s="73"/>
      <c r="F13" s="73">
        <f>'Fund Cover Sheets'!G551</f>
        <v>430500</v>
      </c>
      <c r="G13" s="73"/>
      <c r="H13" s="73">
        <f>'Fund Cover Sheets'!G558</f>
        <v>580832</v>
      </c>
      <c r="I13" s="73"/>
      <c r="J13" s="92">
        <f t="shared" si="0"/>
        <v>-150332</v>
      </c>
      <c r="K13" s="73"/>
      <c r="L13" s="93">
        <f t="shared" si="1"/>
        <v>-185167</v>
      </c>
      <c r="M13" s="94"/>
    </row>
    <row r="14" spans="1:13" ht="24" customHeight="1">
      <c r="A14" s="72"/>
      <c r="B14" s="69" t="s">
        <v>588</v>
      </c>
      <c r="C14" s="95"/>
      <c r="D14" s="73">
        <f>'Fund Cover Sheets'!F866</f>
        <v>-598388</v>
      </c>
      <c r="E14" s="96"/>
      <c r="F14" s="73">
        <f>'Fund Cover Sheets'!G849</f>
        <v>100000</v>
      </c>
      <c r="G14" s="96"/>
      <c r="H14" s="73">
        <f>'Fund Cover Sheets'!G858</f>
        <v>96571</v>
      </c>
      <c r="I14" s="96"/>
      <c r="J14" s="92">
        <f t="shared" si="0"/>
        <v>3429</v>
      </c>
      <c r="K14" s="96"/>
      <c r="L14" s="93">
        <f t="shared" si="1"/>
        <v>-594959</v>
      </c>
      <c r="M14" s="94"/>
    </row>
    <row r="15" spans="1:13" ht="24" customHeight="1">
      <c r="A15" s="72"/>
      <c r="B15" s="69" t="s">
        <v>593</v>
      </c>
      <c r="C15" s="95"/>
      <c r="D15" s="73">
        <f>'Fund Cover Sheets'!F913</f>
        <v>232931</v>
      </c>
      <c r="E15" s="97"/>
      <c r="F15" s="73">
        <f>'Fund Cover Sheets'!G897</f>
        <v>65050</v>
      </c>
      <c r="G15" s="97"/>
      <c r="H15" s="73">
        <f>'Fund Cover Sheets'!G905</f>
        <v>356030</v>
      </c>
      <c r="I15" s="97"/>
      <c r="J15" s="92">
        <f t="shared" si="0"/>
        <v>-290980</v>
      </c>
      <c r="K15" s="97"/>
      <c r="L15" s="93">
        <f t="shared" si="1"/>
        <v>-58049</v>
      </c>
      <c r="M15" s="94"/>
    </row>
    <row r="16" spans="1:13" ht="24" customHeight="1">
      <c r="A16" s="72"/>
      <c r="B16" s="69" t="s">
        <v>898</v>
      </c>
      <c r="C16" s="86"/>
      <c r="D16" s="73">
        <f>'Fund Cover Sheets'!F82</f>
        <v>15067</v>
      </c>
      <c r="E16" s="3"/>
      <c r="F16" s="3">
        <f>'Fund Cover Sheets'!G68</f>
        <v>7073</v>
      </c>
      <c r="G16" s="3"/>
      <c r="H16" s="3">
        <f>'Fund Cover Sheets'!G74</f>
        <v>29833</v>
      </c>
      <c r="I16" s="3"/>
      <c r="J16" s="92">
        <f t="shared" si="0"/>
        <v>-22760</v>
      </c>
      <c r="K16" s="3"/>
      <c r="L16" s="93">
        <f t="shared" si="1"/>
        <v>-7693</v>
      </c>
      <c r="M16" s="94"/>
    </row>
    <row r="17" spans="1:17" ht="24" customHeight="1">
      <c r="A17" s="72"/>
      <c r="B17" s="69" t="s">
        <v>899</v>
      </c>
      <c r="C17" s="86"/>
      <c r="D17" s="73">
        <f>'Fund Cover Sheets'!F126</f>
        <v>-30994</v>
      </c>
      <c r="E17" s="8"/>
      <c r="F17" s="3">
        <f>'Fund Cover Sheets'!G112</f>
        <v>18608</v>
      </c>
      <c r="G17" s="8"/>
      <c r="H17" s="3">
        <f>'Fund Cover Sheets'!G118</f>
        <v>37594</v>
      </c>
      <c r="I17" s="8"/>
      <c r="J17" s="92">
        <f t="shared" si="0"/>
        <v>-18986</v>
      </c>
      <c r="K17" s="8"/>
      <c r="L17" s="93">
        <f t="shared" si="1"/>
        <v>-49980</v>
      </c>
      <c r="M17" s="94"/>
    </row>
    <row r="18" spans="1:17">
      <c r="A18" s="72"/>
      <c r="B18" s="69"/>
      <c r="C18" s="86"/>
      <c r="D18" s="3"/>
      <c r="E18" s="3"/>
      <c r="F18" s="3"/>
      <c r="G18" s="3"/>
      <c r="H18" s="3"/>
      <c r="I18" s="3"/>
      <c r="J18" s="92"/>
      <c r="K18" s="3"/>
      <c r="L18" s="93"/>
      <c r="M18" s="94"/>
    </row>
    <row r="19" spans="1:17" ht="24" customHeight="1">
      <c r="A19" s="71" t="s">
        <v>900</v>
      </c>
      <c r="B19" s="64"/>
      <c r="C19" s="95"/>
      <c r="D19" s="73">
        <f>'Fund Cover Sheets'!F407</f>
        <v>8645</v>
      </c>
      <c r="E19" s="73"/>
      <c r="F19" s="73">
        <f>'Fund Cover Sheets'!G391</f>
        <v>302130</v>
      </c>
      <c r="G19" s="73"/>
      <c r="H19" s="73">
        <f>'Fund Cover Sheets'!G399</f>
        <v>310775</v>
      </c>
      <c r="I19" s="73"/>
      <c r="J19" s="92">
        <f>F19-H19</f>
        <v>-8645</v>
      </c>
      <c r="K19" s="73"/>
      <c r="L19" s="93">
        <f t="shared" si="1"/>
        <v>0</v>
      </c>
      <c r="M19" s="94"/>
    </row>
    <row r="20" spans="1:17">
      <c r="A20" s="72"/>
      <c r="B20" s="64"/>
      <c r="C20" s="86"/>
      <c r="D20" s="3"/>
      <c r="E20" s="98"/>
      <c r="F20" s="3"/>
      <c r="G20" s="98"/>
      <c r="H20" s="98"/>
      <c r="I20" s="98"/>
      <c r="J20" s="92"/>
      <c r="K20" s="98"/>
      <c r="L20" s="93"/>
      <c r="M20" s="94"/>
    </row>
    <row r="21" spans="1:17" ht="24" customHeight="1">
      <c r="A21" s="71" t="s">
        <v>901</v>
      </c>
      <c r="B21" s="64"/>
      <c r="C21" s="86"/>
      <c r="D21" s="3"/>
      <c r="E21" s="3"/>
      <c r="F21" s="3"/>
      <c r="G21" s="3"/>
      <c r="H21" s="3"/>
      <c r="I21" s="3"/>
      <c r="J21" s="92"/>
      <c r="K21" s="3"/>
      <c r="L21" s="93"/>
      <c r="M21" s="94"/>
    </row>
    <row r="22" spans="1:17" ht="24" customHeight="1">
      <c r="A22" s="72"/>
      <c r="B22" s="69" t="s">
        <v>1038</v>
      </c>
      <c r="C22" s="86"/>
      <c r="D22" s="3">
        <f>'Fund Cover Sheets'!F361</f>
        <v>142568</v>
      </c>
      <c r="E22" s="3"/>
      <c r="F22" s="3">
        <f>'Fund Cover Sheets'!G312</f>
        <v>472338</v>
      </c>
      <c r="G22" s="3"/>
      <c r="H22" s="3">
        <f>'Fund Cover Sheets'!G341</f>
        <v>616130</v>
      </c>
      <c r="I22" s="3"/>
      <c r="J22" s="92">
        <f>F22-H22</f>
        <v>-143792</v>
      </c>
      <c r="K22" s="3"/>
      <c r="L22" s="93">
        <f>D22+J22</f>
        <v>-1224</v>
      </c>
      <c r="M22" s="94"/>
    </row>
    <row r="23" spans="1:17" s="10" customFormat="1" ht="24" customHeight="1">
      <c r="A23" s="72"/>
      <c r="B23" s="69" t="s">
        <v>904</v>
      </c>
      <c r="C23" s="6"/>
      <c r="D23" s="3">
        <f>'Fund Cover Sheets'!F275</f>
        <v>4974078</v>
      </c>
      <c r="E23" s="2"/>
      <c r="F23" s="2">
        <f>'Fund Cover Sheets'!G249</f>
        <v>1757322</v>
      </c>
      <c r="G23" s="2"/>
      <c r="H23" s="2">
        <f>'Fund Cover Sheets'!G259</f>
        <v>5900204</v>
      </c>
      <c r="I23" s="2"/>
      <c r="J23" s="92">
        <f>F23-H23</f>
        <v>-4142882</v>
      </c>
      <c r="K23" s="2"/>
      <c r="L23" s="93">
        <f>D23+J23</f>
        <v>831196</v>
      </c>
      <c r="M23" s="81"/>
    </row>
    <row r="24" spans="1:17">
      <c r="A24" s="1"/>
      <c r="B24" s="69"/>
      <c r="C24" s="95"/>
      <c r="D24" s="73"/>
      <c r="E24" s="73"/>
      <c r="F24" s="73"/>
      <c r="G24" s="73"/>
      <c r="H24" s="73"/>
      <c r="I24" s="73"/>
      <c r="J24" s="92"/>
      <c r="K24" s="73"/>
      <c r="L24" s="93"/>
      <c r="M24" s="94"/>
    </row>
    <row r="25" spans="1:17" ht="24" customHeight="1">
      <c r="A25" s="71" t="s">
        <v>951</v>
      </c>
      <c r="B25" s="69"/>
      <c r="C25" s="95"/>
      <c r="D25" s="73"/>
      <c r="E25" s="73"/>
      <c r="F25" s="73"/>
      <c r="G25" s="73"/>
      <c r="H25" s="73"/>
      <c r="I25" s="73"/>
      <c r="J25" s="73"/>
      <c r="K25" s="73"/>
      <c r="L25" s="93"/>
      <c r="M25" s="94"/>
    </row>
    <row r="26" spans="1:17" ht="24" customHeight="1">
      <c r="A26" s="1"/>
      <c r="B26" s="69" t="s">
        <v>679</v>
      </c>
      <c r="C26" s="95"/>
      <c r="D26" s="73">
        <f>'Fund Cover Sheets'!F460</f>
        <v>834203</v>
      </c>
      <c r="E26" s="73"/>
      <c r="F26" s="73">
        <f>'Fund Cover Sheets'!G440</f>
        <v>7673519</v>
      </c>
      <c r="G26" s="73"/>
      <c r="H26" s="73">
        <f>'Fund Cover Sheets'!G452</f>
        <v>7949715</v>
      </c>
      <c r="I26" s="73"/>
      <c r="J26" s="92">
        <f>F26-H26</f>
        <v>-276196</v>
      </c>
      <c r="K26" s="73"/>
      <c r="L26" s="93">
        <f>D26+J26</f>
        <v>558007</v>
      </c>
      <c r="M26" s="94"/>
    </row>
    <row r="27" spans="1:17" ht="24" customHeight="1">
      <c r="A27" s="1"/>
      <c r="B27" s="69" t="s">
        <v>680</v>
      </c>
      <c r="C27" s="95"/>
      <c r="D27" s="73">
        <f>'Fund Cover Sheets'!F515</f>
        <v>1793626</v>
      </c>
      <c r="E27" s="73"/>
      <c r="F27" s="73">
        <f>'Fund Cover Sheets'!G494</f>
        <v>2516354</v>
      </c>
      <c r="G27" s="73"/>
      <c r="H27" s="73">
        <f>'Fund Cover Sheets'!G507</f>
        <v>2941087</v>
      </c>
      <c r="I27" s="73"/>
      <c r="J27" s="92">
        <f>F27-H27</f>
        <v>-424733</v>
      </c>
      <c r="K27" s="73"/>
      <c r="L27" s="93">
        <f>D27+J27</f>
        <v>1368893</v>
      </c>
      <c r="M27" s="94"/>
    </row>
    <row r="28" spans="1:17" ht="30" customHeight="1">
      <c r="A28" s="1"/>
      <c r="B28" s="69"/>
      <c r="C28" s="95"/>
      <c r="D28" s="73"/>
      <c r="E28" s="73"/>
      <c r="F28" s="73"/>
      <c r="G28" s="73"/>
      <c r="H28" s="73"/>
      <c r="I28" s="73"/>
      <c r="J28" s="92"/>
      <c r="K28" s="73"/>
      <c r="L28" s="93"/>
      <c r="M28" s="94"/>
    </row>
    <row r="29" spans="1:17" ht="24" customHeight="1">
      <c r="A29" s="71" t="s">
        <v>906</v>
      </c>
      <c r="B29" s="69"/>
      <c r="C29" s="95"/>
      <c r="D29" s="73"/>
      <c r="E29" s="73"/>
      <c r="F29" s="73"/>
      <c r="G29" s="73"/>
      <c r="H29" s="73"/>
      <c r="I29" s="73"/>
      <c r="J29" s="92"/>
      <c r="K29" s="73"/>
      <c r="L29" s="93"/>
      <c r="M29" s="94"/>
    </row>
    <row r="30" spans="1:17" ht="24" customHeight="1">
      <c r="A30" s="71"/>
      <c r="B30" s="69" t="s">
        <v>670</v>
      </c>
      <c r="C30" s="95"/>
      <c r="D30" s="73">
        <f>'Fund Cover Sheets'!F724</f>
        <v>387693</v>
      </c>
      <c r="E30" s="73"/>
      <c r="F30" s="73">
        <f>'Fund Cover Sheets'!G706</f>
        <v>721418</v>
      </c>
      <c r="G30" s="73"/>
      <c r="H30" s="73">
        <f>'Fund Cover Sheets'!G716</f>
        <v>716122</v>
      </c>
      <c r="I30" s="73"/>
      <c r="J30" s="92">
        <f>F30-H30</f>
        <v>5296</v>
      </c>
      <c r="K30" s="73"/>
      <c r="L30" s="93">
        <f>D30+J30</f>
        <v>392989</v>
      </c>
      <c r="M30" s="94"/>
    </row>
    <row r="31" spans="1:17" ht="24" customHeight="1">
      <c r="A31" s="71"/>
      <c r="B31" s="69" t="s">
        <v>586</v>
      </c>
      <c r="C31" s="95"/>
      <c r="D31" s="73">
        <f>'Fund Cover Sheets'!F771</f>
        <v>0</v>
      </c>
      <c r="E31" s="73"/>
      <c r="F31" s="73">
        <f>'Fund Cover Sheets'!G757</f>
        <v>749876</v>
      </c>
      <c r="G31" s="73"/>
      <c r="H31" s="73">
        <f>'Fund Cover Sheets'!G763</f>
        <v>749846</v>
      </c>
      <c r="I31" s="73"/>
      <c r="J31" s="92">
        <f>F31-H31</f>
        <v>30</v>
      </c>
      <c r="K31" s="73"/>
      <c r="L31" s="93">
        <f>D31+J31</f>
        <v>30</v>
      </c>
      <c r="M31" s="94"/>
      <c r="O31" s="367" t="s">
        <v>1138</v>
      </c>
      <c r="Q31" s="367" t="s">
        <v>1138</v>
      </c>
    </row>
    <row r="32" spans="1:17" ht="24" customHeight="1">
      <c r="A32" s="71"/>
      <c r="B32" s="69" t="s">
        <v>907</v>
      </c>
      <c r="C32" s="95"/>
      <c r="D32" s="73">
        <f>'Fund Cover Sheets'!F817</f>
        <v>-8135</v>
      </c>
      <c r="E32" s="73"/>
      <c r="F32" s="73">
        <f>'Fund Cover Sheets'!G802</f>
        <v>20020</v>
      </c>
      <c r="G32" s="73"/>
      <c r="H32" s="73">
        <f>'Fund Cover Sheets'!G809</f>
        <v>11895</v>
      </c>
      <c r="I32" s="73"/>
      <c r="J32" s="92">
        <f>F32-H32</f>
        <v>8125</v>
      </c>
      <c r="K32" s="73"/>
      <c r="L32" s="93">
        <f>D32+J32</f>
        <v>-10</v>
      </c>
      <c r="M32" s="94"/>
      <c r="N32" s="365" t="s">
        <v>1147</v>
      </c>
      <c r="O32" s="129"/>
      <c r="P32" s="365" t="s">
        <v>1149</v>
      </c>
      <c r="Q32" s="129"/>
    </row>
    <row r="33" spans="1:17" ht="15" customHeight="1">
      <c r="A33" s="72"/>
      <c r="B33" s="74"/>
      <c r="C33" s="86"/>
      <c r="D33" s="3"/>
      <c r="E33" s="3"/>
      <c r="F33" s="3"/>
      <c r="G33" s="3"/>
      <c r="H33" s="3"/>
      <c r="I33" s="3"/>
      <c r="J33" s="3"/>
      <c r="K33" s="3"/>
      <c r="L33" s="73"/>
      <c r="M33" s="94"/>
      <c r="N33" s="365" t="s">
        <v>1148</v>
      </c>
      <c r="O33" s="129"/>
      <c r="P33" s="126"/>
      <c r="Q33" s="129"/>
    </row>
    <row r="34" spans="1:17" ht="24" customHeight="1" thickBot="1">
      <c r="A34" s="72"/>
      <c r="B34" s="99" t="s">
        <v>949</v>
      </c>
      <c r="C34" s="100"/>
      <c r="D34" s="101">
        <f>SUM(D8:D33)</f>
        <v>13276317</v>
      </c>
      <c r="E34" s="101"/>
      <c r="F34" s="101">
        <f>SUM(F8:F33)</f>
        <v>31102076</v>
      </c>
      <c r="G34" s="101"/>
      <c r="H34" s="101">
        <f>SUM(H8:H33)</f>
        <v>37154706</v>
      </c>
      <c r="I34" s="101"/>
      <c r="J34" s="101">
        <f>SUM(J8:J33)</f>
        <v>-6052630</v>
      </c>
      <c r="K34" s="101"/>
      <c r="L34" s="101">
        <f>SUM(L8:L33)</f>
        <v>7223687</v>
      </c>
      <c r="M34" s="94"/>
      <c r="N34" s="366">
        <f>D34+F34-H34</f>
        <v>7223687</v>
      </c>
      <c r="O34" s="368">
        <f>L34-N34</f>
        <v>0</v>
      </c>
      <c r="P34" s="366">
        <f>D34+J34</f>
        <v>7223687</v>
      </c>
      <c r="Q34" s="368">
        <f>L34-P34</f>
        <v>0</v>
      </c>
    </row>
    <row r="35" spans="1:17" ht="15" customHeight="1" thickTop="1">
      <c r="A35" s="72"/>
      <c r="B35" s="1"/>
      <c r="C35" s="77"/>
      <c r="D35" s="92"/>
      <c r="E35" s="92"/>
      <c r="F35" s="92"/>
      <c r="G35" s="92"/>
      <c r="H35" s="92"/>
      <c r="I35" s="92"/>
      <c r="J35" s="92"/>
      <c r="K35" s="92"/>
      <c r="L35" s="93"/>
      <c r="M35" s="94"/>
    </row>
    <row r="36" spans="1:17" ht="15" customHeight="1">
      <c r="A36" s="113" t="s">
        <v>952</v>
      </c>
      <c r="B36" s="114" t="s">
        <v>1053</v>
      </c>
      <c r="C36" s="95"/>
      <c r="D36" s="73"/>
      <c r="E36" s="73"/>
      <c r="F36" s="73"/>
      <c r="G36" s="73"/>
      <c r="H36" s="73"/>
      <c r="I36" s="73"/>
      <c r="J36" s="73"/>
      <c r="K36" s="73"/>
      <c r="L36" s="73"/>
      <c r="M36" s="93"/>
    </row>
    <row r="37" spans="1:17" ht="12" customHeight="1">
      <c r="A37" s="72"/>
      <c r="B37" s="1"/>
      <c r="C37" s="77"/>
      <c r="D37" s="92"/>
      <c r="E37" s="92"/>
      <c r="F37" s="73"/>
      <c r="G37" s="92"/>
      <c r="H37" s="92"/>
      <c r="I37" s="92"/>
      <c r="J37" s="92"/>
      <c r="K37" s="92"/>
      <c r="L37" s="93"/>
      <c r="M37" s="94"/>
    </row>
    <row r="38" spans="1:17" ht="12" customHeight="1">
      <c r="A38" s="72"/>
      <c r="B38" s="1"/>
      <c r="C38" s="77"/>
      <c r="D38" s="92"/>
      <c r="E38" s="92"/>
      <c r="F38" s="73"/>
      <c r="G38" s="92"/>
      <c r="H38" s="92"/>
      <c r="I38" s="92"/>
      <c r="J38" s="92"/>
      <c r="K38" s="92"/>
      <c r="L38" s="93"/>
      <c r="M38" s="94"/>
    </row>
    <row r="39" spans="1:17" s="126" customFormat="1" ht="12" hidden="1" customHeight="1">
      <c r="A39" s="179"/>
      <c r="B39" s="357" t="s">
        <v>1237</v>
      </c>
      <c r="C39" s="358"/>
      <c r="D39" s="359">
        <f>'Fund Balance History'!F48</f>
        <v>13276317</v>
      </c>
      <c r="E39" s="359"/>
      <c r="F39" s="359"/>
      <c r="G39" s="359"/>
      <c r="H39" s="359"/>
      <c r="I39" s="359"/>
      <c r="J39" s="359"/>
      <c r="K39" s="359"/>
      <c r="L39" s="360">
        <v>0</v>
      </c>
      <c r="M39" s="361"/>
      <c r="N39" s="362"/>
      <c r="O39" s="362"/>
    </row>
    <row r="40" spans="1:17" s="126" customFormat="1" ht="12" hidden="1" customHeight="1">
      <c r="A40" s="179"/>
      <c r="B40" s="357" t="s">
        <v>1394</v>
      </c>
      <c r="C40" s="358"/>
      <c r="D40" s="359">
        <v>0</v>
      </c>
      <c r="E40" s="359"/>
      <c r="F40" s="359"/>
      <c r="G40" s="359"/>
      <c r="H40" s="359"/>
      <c r="I40" s="359"/>
      <c r="J40" s="359"/>
      <c r="K40" s="359"/>
      <c r="L40" s="360">
        <f>'Fund Balance History'!G48</f>
        <v>7223687</v>
      </c>
      <c r="M40" s="361"/>
      <c r="N40" s="362"/>
      <c r="O40" s="362"/>
    </row>
    <row r="41" spans="1:17" s="129" customFormat="1" ht="12" hidden="1" customHeight="1">
      <c r="A41" s="180"/>
      <c r="B41" s="350" t="s">
        <v>1138</v>
      </c>
      <c r="C41" s="351"/>
      <c r="D41" s="352">
        <f>D34-D39</f>
        <v>0</v>
      </c>
      <c r="E41" s="351"/>
      <c r="F41" s="351"/>
      <c r="G41" s="351"/>
      <c r="H41" s="351"/>
      <c r="I41" s="351"/>
      <c r="J41" s="351"/>
      <c r="K41" s="351"/>
      <c r="L41" s="356">
        <f>L34-L40</f>
        <v>0</v>
      </c>
      <c r="M41" s="353"/>
      <c r="N41" s="354"/>
      <c r="O41" s="354"/>
    </row>
    <row r="42" spans="1:17" ht="12" hidden="1" customHeight="1">
      <c r="A42" s="72"/>
      <c r="B42" s="9"/>
      <c r="C42" s="123"/>
      <c r="D42" s="123"/>
      <c r="E42" s="123"/>
      <c r="F42" s="123"/>
      <c r="G42" s="123"/>
      <c r="H42" s="123"/>
      <c r="I42" s="123"/>
      <c r="J42" s="123"/>
      <c r="K42" s="123"/>
      <c r="L42" s="124"/>
      <c r="M42" s="125"/>
      <c r="N42" s="120"/>
      <c r="O42" s="120"/>
    </row>
    <row r="43" spans="1:17" s="126" customFormat="1" ht="12" hidden="1" customHeight="1">
      <c r="A43" s="179"/>
      <c r="B43" s="357" t="s">
        <v>1301</v>
      </c>
      <c r="C43" s="358"/>
      <c r="D43" s="358"/>
      <c r="E43" s="358"/>
      <c r="F43" s="359">
        <f>'Budget Summary'!G37</f>
        <v>31102076</v>
      </c>
      <c r="G43" s="363"/>
      <c r="H43" s="359">
        <f>'Budget Summary'!G76</f>
        <v>37154706</v>
      </c>
      <c r="I43" s="358"/>
      <c r="J43" s="358"/>
      <c r="K43" s="358"/>
      <c r="L43" s="357"/>
      <c r="M43" s="364"/>
      <c r="N43" s="362"/>
      <c r="O43" s="362"/>
    </row>
    <row r="44" spans="1:17" s="129" customFormat="1" ht="12" hidden="1" customHeight="1">
      <c r="A44" s="180"/>
      <c r="B44" s="350" t="s">
        <v>1138</v>
      </c>
      <c r="C44" s="351"/>
      <c r="D44" s="351"/>
      <c r="E44" s="351"/>
      <c r="F44" s="352">
        <f>F34-F43</f>
        <v>0</v>
      </c>
      <c r="G44" s="351"/>
      <c r="H44" s="352">
        <f>H34-H43</f>
        <v>0</v>
      </c>
      <c r="I44" s="351"/>
      <c r="J44" s="351"/>
      <c r="K44" s="351"/>
      <c r="L44" s="350"/>
      <c r="M44" s="353"/>
      <c r="N44" s="354"/>
      <c r="O44" s="354"/>
    </row>
    <row r="45" spans="1:17" hidden="1">
      <c r="A45" s="72"/>
      <c r="B45" s="9"/>
      <c r="C45" s="123"/>
      <c r="D45" s="123"/>
      <c r="E45" s="123"/>
      <c r="F45" s="123"/>
      <c r="G45" s="123"/>
      <c r="H45" s="123"/>
      <c r="I45" s="123"/>
      <c r="J45" s="123"/>
      <c r="K45" s="123"/>
      <c r="L45" s="124"/>
      <c r="M45" s="125"/>
      <c r="N45" s="120"/>
      <c r="O45" s="120"/>
    </row>
    <row r="46" spans="1:17" s="126" customFormat="1" hidden="1">
      <c r="A46" s="179"/>
      <c r="B46" s="357" t="s">
        <v>1300</v>
      </c>
      <c r="C46" s="358"/>
      <c r="D46" s="358"/>
      <c r="E46" s="358"/>
      <c r="F46" s="358">
        <f>'Budget Summary by Category'!M36</f>
        <v>31102076</v>
      </c>
      <c r="G46" s="358"/>
      <c r="H46" s="358">
        <f>'Budget Summary by Category'!K74</f>
        <v>37154706</v>
      </c>
      <c r="I46" s="358"/>
      <c r="J46" s="358"/>
      <c r="K46" s="358"/>
      <c r="L46" s="357"/>
      <c r="M46" s="364"/>
      <c r="N46" s="362"/>
      <c r="O46" s="362"/>
    </row>
    <row r="47" spans="1:17" s="129" customFormat="1" hidden="1">
      <c r="A47" s="180"/>
      <c r="B47" s="350" t="s">
        <v>1138</v>
      </c>
      <c r="C47" s="351"/>
      <c r="D47" s="351"/>
      <c r="E47" s="351"/>
      <c r="F47" s="355">
        <f>F34-F46</f>
        <v>0</v>
      </c>
      <c r="G47" s="351"/>
      <c r="H47" s="352">
        <f>H34-H46</f>
        <v>0</v>
      </c>
      <c r="I47" s="351"/>
      <c r="J47" s="351"/>
      <c r="K47" s="351"/>
      <c r="L47" s="350"/>
      <c r="M47" s="353"/>
      <c r="N47" s="354"/>
      <c r="O47" s="354"/>
    </row>
    <row r="48" spans="1:17">
      <c r="A48" s="72"/>
      <c r="B48" s="9"/>
      <c r="C48" s="123"/>
      <c r="D48" s="123"/>
      <c r="E48" s="123"/>
      <c r="F48" s="123"/>
      <c r="G48" s="123"/>
      <c r="H48" s="123"/>
      <c r="I48" s="123"/>
      <c r="J48" s="123"/>
      <c r="K48" s="123"/>
      <c r="L48" s="124"/>
      <c r="M48" s="125"/>
      <c r="N48" s="120"/>
      <c r="O48" s="120"/>
    </row>
    <row r="49" spans="1:15">
      <c r="A49" s="72"/>
      <c r="B49" s="9"/>
      <c r="C49" s="123"/>
      <c r="D49" s="123"/>
      <c r="E49" s="123"/>
      <c r="F49" s="123"/>
      <c r="G49" s="123"/>
      <c r="H49" s="123"/>
      <c r="I49" s="123"/>
      <c r="J49" s="123"/>
      <c r="K49" s="123"/>
      <c r="L49" s="124"/>
      <c r="M49" s="125"/>
      <c r="N49" s="120"/>
      <c r="O49" s="120"/>
    </row>
    <row r="50" spans="1:15">
      <c r="A50" s="72"/>
      <c r="B50" s="9"/>
      <c r="C50" s="123"/>
      <c r="D50" s="123"/>
      <c r="E50" s="123"/>
      <c r="F50" s="123"/>
      <c r="G50" s="123"/>
      <c r="H50" s="123"/>
      <c r="I50" s="123"/>
      <c r="J50" s="123"/>
      <c r="K50" s="123"/>
      <c r="L50" s="124"/>
      <c r="M50" s="125"/>
      <c r="N50" s="120"/>
      <c r="O50" s="120"/>
    </row>
    <row r="51" spans="1:15">
      <c r="A51" s="72"/>
      <c r="B51" s="9"/>
      <c r="C51" s="123"/>
      <c r="D51" s="123"/>
      <c r="E51" s="123"/>
      <c r="F51" s="123"/>
      <c r="G51" s="123"/>
      <c r="H51" s="123"/>
      <c r="I51" s="123"/>
      <c r="J51" s="123"/>
      <c r="K51" s="123"/>
      <c r="L51" s="124"/>
      <c r="M51" s="125"/>
      <c r="N51" s="120"/>
      <c r="O51" s="120"/>
    </row>
    <row r="52" spans="1:15">
      <c r="A52" s="72"/>
      <c r="B52" s="1"/>
      <c r="C52" s="77"/>
      <c r="D52" s="77"/>
      <c r="E52" s="77"/>
      <c r="F52" s="77"/>
      <c r="G52" s="77"/>
      <c r="H52" s="77"/>
      <c r="I52" s="77"/>
      <c r="J52" s="77"/>
      <c r="K52" s="77"/>
      <c r="L52" s="72"/>
    </row>
    <row r="53" spans="1:15">
      <c r="C53" s="102"/>
      <c r="D53" s="102"/>
      <c r="E53" s="102"/>
      <c r="F53" s="102"/>
      <c r="G53" s="102"/>
      <c r="H53" s="102"/>
      <c r="I53" s="102"/>
      <c r="J53" s="102"/>
      <c r="K53" s="102"/>
    </row>
    <row r="54" spans="1:15">
      <c r="C54" s="102"/>
      <c r="D54" s="102"/>
      <c r="E54" s="102"/>
      <c r="F54" s="102"/>
      <c r="G54" s="102"/>
      <c r="H54" s="102"/>
      <c r="I54" s="102"/>
      <c r="J54" s="102"/>
      <c r="K54" s="102"/>
    </row>
    <row r="55" spans="1:15">
      <c r="C55" s="102"/>
      <c r="D55" s="102"/>
      <c r="E55" s="102"/>
      <c r="F55" s="102"/>
      <c r="G55" s="102"/>
      <c r="H55" s="102"/>
      <c r="I55" s="102"/>
      <c r="J55" s="102"/>
      <c r="K55" s="102"/>
    </row>
    <row r="56" spans="1:15">
      <c r="C56" s="102"/>
      <c r="D56" s="102"/>
      <c r="E56" s="102"/>
      <c r="F56" s="102"/>
      <c r="G56" s="102"/>
      <c r="H56" s="102"/>
      <c r="I56" s="102"/>
      <c r="J56" s="102"/>
      <c r="K56" s="102"/>
    </row>
    <row r="57" spans="1:15">
      <c r="C57" s="102"/>
      <c r="D57" s="102"/>
      <c r="E57" s="102"/>
      <c r="F57" s="102"/>
      <c r="G57" s="102"/>
      <c r="H57" s="102"/>
      <c r="I57" s="102"/>
      <c r="J57" s="102"/>
      <c r="K57" s="102"/>
    </row>
    <row r="58" spans="1:15">
      <c r="C58" s="102"/>
      <c r="D58" s="102"/>
      <c r="E58" s="102"/>
      <c r="F58" s="102"/>
      <c r="G58" s="102"/>
      <c r="H58" s="102"/>
      <c r="I58" s="102"/>
      <c r="J58" s="102"/>
      <c r="K58" s="102"/>
    </row>
    <row r="59" spans="1:15">
      <c r="C59" s="102"/>
      <c r="D59" s="102"/>
      <c r="E59" s="102"/>
      <c r="F59" s="102"/>
      <c r="G59" s="102"/>
      <c r="H59" s="102"/>
      <c r="I59" s="102"/>
      <c r="J59" s="102"/>
      <c r="K59" s="102"/>
    </row>
    <row r="60" spans="1:15">
      <c r="C60" s="102"/>
      <c r="D60" s="102"/>
      <c r="E60" s="102"/>
      <c r="F60" s="102"/>
      <c r="G60" s="102"/>
      <c r="H60" s="102"/>
      <c r="I60" s="102"/>
      <c r="J60" s="102"/>
      <c r="K60" s="102"/>
    </row>
    <row r="61" spans="1:15">
      <c r="C61" s="102"/>
      <c r="D61" s="102"/>
      <c r="E61" s="102"/>
      <c r="F61" s="102"/>
      <c r="G61" s="102"/>
      <c r="H61" s="102"/>
      <c r="I61" s="102"/>
      <c r="J61" s="102"/>
      <c r="K61" s="102"/>
    </row>
    <row r="62" spans="1:15">
      <c r="C62" s="102"/>
      <c r="D62" s="102"/>
      <c r="E62" s="102"/>
      <c r="F62" s="102"/>
      <c r="G62" s="102"/>
      <c r="H62" s="102"/>
      <c r="I62" s="102"/>
      <c r="J62" s="102"/>
      <c r="K62" s="102"/>
    </row>
    <row r="63" spans="1:15">
      <c r="C63" s="102"/>
      <c r="D63" s="102"/>
      <c r="E63" s="102"/>
      <c r="F63" s="102"/>
      <c r="G63" s="102"/>
      <c r="H63" s="102"/>
      <c r="I63" s="102"/>
      <c r="J63" s="102"/>
      <c r="K63" s="102"/>
    </row>
    <row r="64" spans="1:15">
      <c r="C64" s="102"/>
      <c r="D64" s="102"/>
      <c r="E64" s="102"/>
      <c r="F64" s="102"/>
      <c r="G64" s="102"/>
      <c r="H64" s="102"/>
      <c r="I64" s="102"/>
      <c r="J64" s="102"/>
      <c r="K64" s="102"/>
    </row>
    <row r="65" spans="3:11">
      <c r="C65" s="102"/>
      <c r="D65" s="102"/>
      <c r="E65" s="102"/>
      <c r="F65" s="102"/>
      <c r="G65" s="102"/>
      <c r="H65" s="102"/>
      <c r="I65" s="102"/>
      <c r="J65" s="102"/>
      <c r="K65" s="102"/>
    </row>
    <row r="66" spans="3:11">
      <c r="C66" s="102"/>
      <c r="D66" s="102"/>
      <c r="E66" s="102"/>
      <c r="F66" s="102"/>
      <c r="G66" s="102"/>
      <c r="H66" s="102"/>
      <c r="I66" s="102"/>
      <c r="J66" s="102"/>
      <c r="K66" s="102"/>
    </row>
    <row r="67" spans="3:11">
      <c r="C67" s="102"/>
      <c r="D67" s="102"/>
      <c r="E67" s="102"/>
      <c r="F67" s="102"/>
      <c r="G67" s="102"/>
      <c r="H67" s="102"/>
      <c r="I67" s="102"/>
      <c r="J67" s="102"/>
      <c r="K67" s="102"/>
    </row>
    <row r="68" spans="3:11">
      <c r="C68" s="102"/>
      <c r="D68" s="102"/>
      <c r="E68" s="102"/>
      <c r="F68" s="102"/>
      <c r="G68" s="102"/>
      <c r="H68" s="102"/>
      <c r="I68" s="102"/>
      <c r="J68" s="102"/>
      <c r="K68" s="102"/>
    </row>
    <row r="69" spans="3:11">
      <c r="C69" s="102"/>
      <c r="D69" s="102"/>
      <c r="E69" s="102"/>
      <c r="F69" s="102"/>
      <c r="G69" s="102"/>
      <c r="H69" s="102"/>
      <c r="I69" s="102"/>
      <c r="J69" s="102"/>
      <c r="K69" s="102"/>
    </row>
    <row r="70" spans="3:11">
      <c r="C70" s="102"/>
      <c r="D70" s="102"/>
      <c r="E70" s="102"/>
      <c r="F70" s="102"/>
      <c r="G70" s="102"/>
      <c r="H70" s="102"/>
      <c r="I70" s="102"/>
      <c r="J70" s="102"/>
      <c r="K70" s="102"/>
    </row>
    <row r="71" spans="3:11">
      <c r="C71" s="102"/>
      <c r="D71" s="102"/>
      <c r="E71" s="102"/>
      <c r="F71" s="102"/>
      <c r="G71" s="102"/>
      <c r="H71" s="102"/>
      <c r="I71" s="102"/>
      <c r="J71" s="102"/>
      <c r="K71" s="102"/>
    </row>
  </sheetData>
  <mergeCells count="3">
    <mergeCell ref="B1:L1"/>
    <mergeCell ref="B2:L2"/>
    <mergeCell ref="B3:L3"/>
  </mergeCells>
  <printOptions horizontalCentered="1"/>
  <pageMargins left="0" right="0.1" top="0.5" bottom="0" header="0" footer="0"/>
  <pageSetup scale="90" orientation="portrait" r:id="rId1"/>
</worksheet>
</file>

<file path=xl/worksheets/sheet5.xml><?xml version="1.0" encoding="utf-8"?>
<worksheet xmlns="http://schemas.openxmlformats.org/spreadsheetml/2006/main" xmlns:r="http://schemas.openxmlformats.org/officeDocument/2006/relationships">
  <dimension ref="A1:L785"/>
  <sheetViews>
    <sheetView zoomScaleNormal="100" zoomScaleSheetLayoutView="75" workbookViewId="0">
      <selection activeCell="M25" sqref="M25"/>
    </sheetView>
  </sheetViews>
  <sheetFormatPr defaultRowHeight="12.75"/>
  <cols>
    <col min="1" max="1" width="3.7109375" style="26" customWidth="1"/>
    <col min="2" max="2" width="32.7109375" style="26" customWidth="1"/>
    <col min="3" max="4" width="12.7109375" style="36" customWidth="1"/>
    <col min="5" max="11" width="12.7109375" style="37" customWidth="1"/>
    <col min="12" max="12" width="9.140625" style="544"/>
    <col min="13" max="16384" width="9.140625" style="26"/>
  </cols>
  <sheetData>
    <row r="1" spans="1:12" ht="18.75" customHeight="1">
      <c r="A1" s="13"/>
      <c r="B1" s="730" t="s">
        <v>883</v>
      </c>
      <c r="C1" s="730"/>
      <c r="D1" s="730"/>
      <c r="E1" s="730"/>
      <c r="F1" s="730"/>
      <c r="G1" s="730"/>
      <c r="H1" s="730"/>
      <c r="I1" s="730"/>
      <c r="J1" s="730"/>
      <c r="K1" s="730"/>
    </row>
    <row r="2" spans="1:12" ht="18.75">
      <c r="A2" s="13"/>
      <c r="B2" s="38"/>
      <c r="C2" s="52"/>
      <c r="D2" s="53"/>
      <c r="E2" s="53"/>
      <c r="F2" s="54"/>
      <c r="G2" s="54"/>
      <c r="H2" s="54"/>
      <c r="I2" s="54"/>
      <c r="J2" s="54"/>
      <c r="K2" s="54"/>
    </row>
    <row r="3" spans="1:12" ht="15" customHeight="1">
      <c r="A3" s="13"/>
      <c r="B3" s="731" t="s">
        <v>1285</v>
      </c>
      <c r="C3" s="731"/>
      <c r="D3" s="731"/>
      <c r="E3" s="731"/>
      <c r="F3" s="731"/>
      <c r="G3" s="731"/>
      <c r="H3" s="731"/>
      <c r="I3" s="731"/>
      <c r="J3" s="731"/>
      <c r="K3" s="731"/>
    </row>
    <row r="4" spans="1:12" ht="15">
      <c r="A4" s="13"/>
      <c r="B4" s="731"/>
      <c r="C4" s="731"/>
      <c r="D4" s="731"/>
      <c r="E4" s="731"/>
      <c r="F4" s="731"/>
      <c r="G4" s="731"/>
      <c r="H4" s="731"/>
      <c r="I4" s="731"/>
      <c r="J4" s="731"/>
      <c r="K4" s="731"/>
    </row>
    <row r="5" spans="1:12" ht="15">
      <c r="A5" s="13"/>
      <c r="B5" s="731"/>
      <c r="C5" s="731"/>
      <c r="D5" s="731"/>
      <c r="E5" s="731"/>
      <c r="F5" s="731"/>
      <c r="G5" s="731"/>
      <c r="H5" s="731"/>
      <c r="I5" s="731"/>
      <c r="J5" s="731"/>
      <c r="K5" s="731"/>
    </row>
    <row r="6" spans="1:12" ht="15">
      <c r="A6" s="13"/>
      <c r="B6" s="40"/>
      <c r="C6" s="55"/>
      <c r="D6" s="55"/>
      <c r="E6" s="55"/>
      <c r="F6" s="54"/>
      <c r="G6" s="54"/>
      <c r="H6" s="54"/>
      <c r="I6" s="54"/>
      <c r="J6" s="54"/>
      <c r="K6" s="54"/>
    </row>
    <row r="7" spans="1:12" ht="15">
      <c r="A7" s="13"/>
      <c r="B7" s="10"/>
      <c r="C7" s="65"/>
      <c r="D7" s="66"/>
      <c r="E7" s="65" t="s">
        <v>270</v>
      </c>
      <c r="F7" s="1"/>
      <c r="G7" s="1"/>
      <c r="H7" s="1"/>
      <c r="I7" s="1"/>
      <c r="J7" s="1"/>
      <c r="K7" s="1"/>
    </row>
    <row r="8" spans="1:12" ht="15">
      <c r="A8" s="13"/>
      <c r="B8" s="12"/>
      <c r="C8" s="65" t="s">
        <v>257</v>
      </c>
      <c r="D8" s="49" t="s">
        <v>258</v>
      </c>
      <c r="E8" s="66" t="s">
        <v>832</v>
      </c>
      <c r="F8" s="66" t="s">
        <v>270</v>
      </c>
      <c r="G8" s="66" t="s">
        <v>271</v>
      </c>
      <c r="H8" s="66" t="s">
        <v>272</v>
      </c>
      <c r="I8" s="66" t="s">
        <v>996</v>
      </c>
      <c r="J8" s="66" t="s">
        <v>1101</v>
      </c>
      <c r="K8" s="66" t="s">
        <v>1136</v>
      </c>
    </row>
    <row r="9" spans="1:12" ht="15.75" thickBot="1">
      <c r="A9" s="13"/>
      <c r="B9" s="41"/>
      <c r="C9" s="68" t="s">
        <v>1</v>
      </c>
      <c r="D9" s="68" t="s">
        <v>1</v>
      </c>
      <c r="E9" s="68" t="s">
        <v>787</v>
      </c>
      <c r="F9" s="68" t="s">
        <v>19</v>
      </c>
      <c r="G9" s="68" t="s">
        <v>832</v>
      </c>
      <c r="H9" s="68" t="s">
        <v>19</v>
      </c>
      <c r="I9" s="68" t="s">
        <v>19</v>
      </c>
      <c r="J9" s="68" t="s">
        <v>19</v>
      </c>
      <c r="K9" s="68" t="s">
        <v>19</v>
      </c>
    </row>
    <row r="10" spans="1:12" ht="15">
      <c r="A10" s="13"/>
      <c r="B10" s="10"/>
      <c r="C10" s="45"/>
      <c r="D10" s="45"/>
      <c r="E10" s="45"/>
      <c r="F10" s="54"/>
      <c r="G10" s="54"/>
      <c r="H10" s="54"/>
      <c r="I10" s="54"/>
      <c r="J10" s="54"/>
      <c r="K10" s="54"/>
    </row>
    <row r="11" spans="1:12" ht="15">
      <c r="A11" s="13"/>
      <c r="B11" s="42" t="s">
        <v>598</v>
      </c>
      <c r="C11" s="45"/>
      <c r="D11" s="45"/>
      <c r="E11" s="45"/>
      <c r="F11" s="54"/>
      <c r="G11" s="54"/>
      <c r="H11" s="54"/>
      <c r="I11" s="54"/>
      <c r="J11" s="54"/>
      <c r="K11" s="54"/>
    </row>
    <row r="12" spans="1:12" ht="20.100000000000001" customHeight="1">
      <c r="A12" s="13"/>
      <c r="B12" s="14" t="s">
        <v>844</v>
      </c>
      <c r="C12" s="2">
        <f>SUM('Budget Detail FY 2013-20'!L65:L72)</f>
        <v>340543</v>
      </c>
      <c r="D12" s="2">
        <f>SUM('Budget Detail FY 2013-20'!M65:M72)</f>
        <v>364083</v>
      </c>
      <c r="E12" s="2">
        <f>SUM('Budget Detail FY 2013-20'!N65:N72)</f>
        <v>433153</v>
      </c>
      <c r="F12" s="2">
        <f>SUM('Budget Detail FY 2013-20'!O65:O72)</f>
        <v>427653</v>
      </c>
      <c r="G12" s="2">
        <f>SUM('Budget Detail FY 2013-20'!P65:P72)</f>
        <v>420487</v>
      </c>
      <c r="H12" s="2">
        <f>SUM('Budget Detail FY 2013-20'!Q65:Q72)</f>
        <v>431284</v>
      </c>
      <c r="I12" s="2">
        <f>SUM('Budget Detail FY 2013-20'!R65:R72)</f>
        <v>442459</v>
      </c>
      <c r="J12" s="2">
        <f>SUM('Budget Detail FY 2013-20'!S65:S72)</f>
        <v>454025</v>
      </c>
      <c r="K12" s="2">
        <f>SUM('Budget Detail FY 2013-20'!T65:T72)</f>
        <v>465996</v>
      </c>
    </row>
    <row r="13" spans="1:12" ht="20.100000000000001" customHeight="1">
      <c r="A13" s="13"/>
      <c r="B13" s="14" t="s">
        <v>845</v>
      </c>
      <c r="C13" s="2">
        <f>SUM('Budget Detail FY 2013-20'!L73:L82)</f>
        <v>238180</v>
      </c>
      <c r="D13" s="2">
        <f>SUM('Budget Detail FY 2013-20'!M73:M82)</f>
        <v>219042</v>
      </c>
      <c r="E13" s="2">
        <f>SUM('Budget Detail FY 2013-20'!N73:N82)</f>
        <v>289190</v>
      </c>
      <c r="F13" s="2">
        <f>SUM('Budget Detail FY 2013-20'!O73:O82)</f>
        <v>288134</v>
      </c>
      <c r="G13" s="2">
        <f>SUM('Budget Detail FY 2013-20'!P73:P82)</f>
        <v>166566</v>
      </c>
      <c r="H13" s="2">
        <f>SUM('Budget Detail FY 2013-20'!Q73:Q82)</f>
        <v>184740</v>
      </c>
      <c r="I13" s="2">
        <f>SUM('Budget Detail FY 2013-20'!R73:R82)</f>
        <v>198185</v>
      </c>
      <c r="J13" s="2">
        <f>SUM('Budget Detail FY 2013-20'!S73:S82)</f>
        <v>212721</v>
      </c>
      <c r="K13" s="2">
        <f>SUM('Budget Detail FY 2013-20'!T73:T82)</f>
        <v>228426</v>
      </c>
    </row>
    <row r="14" spans="1:12" ht="20.100000000000001" customHeight="1">
      <c r="A14" s="13"/>
      <c r="B14" s="14" t="s">
        <v>846</v>
      </c>
      <c r="C14" s="2">
        <f>SUM('Budget Detail FY 2013-20'!L83:L97)</f>
        <v>122314</v>
      </c>
      <c r="D14" s="2">
        <f>SUM('Budget Detail FY 2013-20'!M83:M97)</f>
        <v>136733</v>
      </c>
      <c r="E14" s="2">
        <f>SUM('Budget Detail FY 2013-20'!N83:N97)</f>
        <v>167735</v>
      </c>
      <c r="F14" s="2">
        <f>SUM('Budget Detail FY 2013-20'!O83:O97)</f>
        <v>167735</v>
      </c>
      <c r="G14" s="2">
        <f>SUM('Budget Detail FY 2013-20'!P83:P97)</f>
        <v>151039</v>
      </c>
      <c r="H14" s="2">
        <f>SUM('Budget Detail FY 2013-20'!Q83:Q97)</f>
        <v>152421</v>
      </c>
      <c r="I14" s="2">
        <f>SUM('Budget Detail FY 2013-20'!R83:R97)</f>
        <v>153886</v>
      </c>
      <c r="J14" s="2">
        <f>SUM('Budget Detail FY 2013-20'!S83:S97)</f>
        <v>155439</v>
      </c>
      <c r="K14" s="2">
        <f>SUM('Budget Detail FY 2013-20'!T83:T97)</f>
        <v>157085</v>
      </c>
    </row>
    <row r="15" spans="1:12" ht="20.100000000000001" customHeight="1">
      <c r="A15" s="13"/>
      <c r="B15" s="43" t="s">
        <v>847</v>
      </c>
      <c r="C15" s="2">
        <f>SUM('Budget Detail FY 2013-20'!L98:L100)</f>
        <v>9162</v>
      </c>
      <c r="D15" s="2">
        <f>SUM('Budget Detail FY 2013-20'!M98:M100)</f>
        <v>8287</v>
      </c>
      <c r="E15" s="2">
        <f>SUM('Budget Detail FY 2013-20'!N98:N100)</f>
        <v>12950</v>
      </c>
      <c r="F15" s="2">
        <f>SUM('Budget Detail FY 2013-20'!O98:O100)</f>
        <v>12850</v>
      </c>
      <c r="G15" s="2">
        <f>SUM('Budget Detail FY 2013-20'!P98:P100)</f>
        <v>11850</v>
      </c>
      <c r="H15" s="2">
        <f>SUM('Budget Detail FY 2013-20'!Q98:Q100)</f>
        <v>11850</v>
      </c>
      <c r="I15" s="2">
        <f>SUM('Budget Detail FY 2013-20'!R98:R100)</f>
        <v>11850</v>
      </c>
      <c r="J15" s="2">
        <f>SUM('Budget Detail FY 2013-20'!S98:S100)</f>
        <v>11850</v>
      </c>
      <c r="K15" s="2">
        <f>SUM('Budget Detail FY 2013-20'!T98:T100)</f>
        <v>11850</v>
      </c>
    </row>
    <row r="16" spans="1:12" s="117" customFormat="1" ht="20.100000000000001" customHeight="1" thickBot="1">
      <c r="A16" s="115"/>
      <c r="B16" s="116" t="s">
        <v>884</v>
      </c>
      <c r="C16" s="83">
        <f>SUM(C12:C15)</f>
        <v>710199</v>
      </c>
      <c r="D16" s="83">
        <f t="shared" ref="D16:J16" si="0">SUM(D12:D15)</f>
        <v>728145</v>
      </c>
      <c r="E16" s="83">
        <f t="shared" si="0"/>
        <v>903028</v>
      </c>
      <c r="F16" s="83">
        <f>SUM(F12:F15)</f>
        <v>896372</v>
      </c>
      <c r="G16" s="83">
        <f t="shared" si="0"/>
        <v>749942</v>
      </c>
      <c r="H16" s="83">
        <f t="shared" si="0"/>
        <v>780295</v>
      </c>
      <c r="I16" s="83">
        <f t="shared" si="0"/>
        <v>806380</v>
      </c>
      <c r="J16" s="83">
        <f t="shared" si="0"/>
        <v>834035</v>
      </c>
      <c r="K16" s="83">
        <f>SUM(K12:K15)</f>
        <v>863357</v>
      </c>
      <c r="L16" s="722"/>
    </row>
    <row r="17" spans="1:12" s="138" customFormat="1" ht="15.75" hidden="1" thickTop="1">
      <c r="A17" s="136"/>
      <c r="B17" s="127"/>
      <c r="C17" s="137">
        <f>'Budget Detail FY 2013-20'!L101</f>
        <v>710199</v>
      </c>
      <c r="D17" s="137">
        <f>'Budget Detail FY 2013-20'!M101</f>
        <v>728145</v>
      </c>
      <c r="E17" s="137">
        <f>'Budget Detail FY 2013-20'!N101</f>
        <v>903028</v>
      </c>
      <c r="F17" s="137">
        <f>'Budget Detail FY 2013-20'!O101</f>
        <v>896372</v>
      </c>
      <c r="G17" s="137">
        <f>'Budget Detail FY 2013-20'!P101</f>
        <v>749942</v>
      </c>
      <c r="H17" s="137">
        <f>'Budget Detail FY 2013-20'!Q101</f>
        <v>780295</v>
      </c>
      <c r="I17" s="137">
        <f>'Budget Detail FY 2013-20'!R101</f>
        <v>806380</v>
      </c>
      <c r="J17" s="137">
        <f>'Budget Detail FY 2013-20'!S101</f>
        <v>834035</v>
      </c>
      <c r="K17" s="137">
        <f>'Budget Detail FY 2013-20'!T101</f>
        <v>863357</v>
      </c>
      <c r="L17" s="722"/>
    </row>
    <row r="18" spans="1:12" s="145" customFormat="1" ht="14.25" hidden="1">
      <c r="A18" s="143"/>
      <c r="B18" s="130"/>
      <c r="C18" s="144">
        <f>C16-C17</f>
        <v>0</v>
      </c>
      <c r="D18" s="144">
        <f t="shared" ref="D18:K18" si="1">D16-D17</f>
        <v>0</v>
      </c>
      <c r="E18" s="144">
        <f t="shared" si="1"/>
        <v>0</v>
      </c>
      <c r="F18" s="144">
        <f t="shared" si="1"/>
        <v>0</v>
      </c>
      <c r="G18" s="144">
        <f t="shared" si="1"/>
        <v>0</v>
      </c>
      <c r="H18" s="144">
        <f t="shared" si="1"/>
        <v>0</v>
      </c>
      <c r="I18" s="144">
        <f t="shared" si="1"/>
        <v>0</v>
      </c>
      <c r="J18" s="144">
        <f t="shared" si="1"/>
        <v>0</v>
      </c>
      <c r="K18" s="144">
        <f t="shared" si="1"/>
        <v>0</v>
      </c>
      <c r="L18" s="722"/>
    </row>
    <row r="19" spans="1:12" s="117" customFormat="1" ht="15" thickTop="1">
      <c r="A19" s="115"/>
      <c r="B19" s="16"/>
      <c r="C19" s="135"/>
      <c r="D19" s="135"/>
      <c r="E19" s="135"/>
      <c r="F19" s="135"/>
      <c r="G19" s="135"/>
      <c r="H19" s="135"/>
      <c r="I19" s="135"/>
      <c r="J19" s="135"/>
      <c r="K19" s="135"/>
      <c r="L19" s="722"/>
    </row>
    <row r="20" spans="1:12" ht="15">
      <c r="A20" s="13"/>
      <c r="B20" s="15"/>
      <c r="C20" s="56"/>
      <c r="D20" s="56"/>
      <c r="E20" s="56"/>
      <c r="F20" s="54"/>
      <c r="G20" s="54"/>
      <c r="H20" s="54"/>
      <c r="I20" s="54"/>
      <c r="J20" s="54"/>
      <c r="K20" s="54"/>
    </row>
    <row r="21" spans="1:12" ht="15">
      <c r="A21" s="13"/>
      <c r="B21" s="10"/>
      <c r="C21" s="45"/>
      <c r="D21" s="45"/>
      <c r="E21" s="45"/>
      <c r="F21" s="54"/>
      <c r="G21" s="54"/>
      <c r="H21" s="54"/>
      <c r="I21" s="54"/>
      <c r="J21" s="54"/>
      <c r="K21" s="54"/>
    </row>
    <row r="22" spans="1:12" ht="15">
      <c r="A22" s="13"/>
      <c r="B22" s="10"/>
      <c r="C22" s="45"/>
      <c r="D22" s="45"/>
      <c r="E22" s="45"/>
      <c r="F22" s="54"/>
      <c r="G22" s="54"/>
      <c r="H22" s="54"/>
      <c r="I22" s="54"/>
      <c r="J22" s="54"/>
      <c r="K22" s="54"/>
    </row>
    <row r="23" spans="1:12" ht="15">
      <c r="A23" s="13"/>
      <c r="B23" s="10"/>
      <c r="C23" s="45"/>
      <c r="D23" s="45"/>
      <c r="E23" s="45"/>
      <c r="F23" s="54"/>
      <c r="G23" s="54"/>
      <c r="H23" s="54"/>
      <c r="I23" s="54"/>
      <c r="J23" s="54"/>
      <c r="K23" s="54"/>
    </row>
    <row r="24" spans="1:12" ht="15">
      <c r="A24" s="13"/>
      <c r="B24" s="10"/>
      <c r="C24" s="45"/>
      <c r="D24" s="45"/>
      <c r="E24" s="45"/>
      <c r="F24" s="54"/>
      <c r="G24" s="54"/>
      <c r="H24" s="54"/>
      <c r="I24" s="54"/>
      <c r="J24" s="54"/>
      <c r="K24" s="54"/>
    </row>
    <row r="25" spans="1:12" ht="15">
      <c r="A25" s="13"/>
      <c r="B25" s="10"/>
      <c r="C25" s="45"/>
      <c r="D25" s="45"/>
      <c r="E25" s="45"/>
      <c r="F25" s="54"/>
      <c r="G25" s="54"/>
      <c r="H25" s="54"/>
      <c r="I25" s="54"/>
      <c r="J25" s="54"/>
      <c r="K25" s="54"/>
    </row>
    <row r="26" spans="1:12" ht="15">
      <c r="A26" s="13"/>
      <c r="B26" s="10"/>
      <c r="C26" s="45"/>
      <c r="D26" s="45"/>
      <c r="E26" s="45"/>
      <c r="F26" s="54"/>
      <c r="G26" s="54"/>
      <c r="H26" s="54"/>
      <c r="I26" s="54"/>
      <c r="J26" s="54"/>
      <c r="K26" s="54"/>
    </row>
    <row r="27" spans="1:12" ht="15">
      <c r="A27" s="13"/>
      <c r="B27" s="10"/>
      <c r="C27" s="45"/>
      <c r="D27" s="45"/>
      <c r="E27" s="45"/>
      <c r="F27" s="54"/>
      <c r="G27" s="54"/>
      <c r="H27" s="54"/>
      <c r="I27" s="54"/>
      <c r="J27" s="54"/>
      <c r="K27" s="54"/>
    </row>
    <row r="28" spans="1:12" ht="15">
      <c r="A28" s="13"/>
      <c r="B28" s="10"/>
      <c r="C28" s="45"/>
      <c r="D28" s="45"/>
      <c r="E28" s="45"/>
      <c r="F28" s="54"/>
      <c r="G28" s="54"/>
      <c r="H28" s="54"/>
      <c r="I28" s="54"/>
      <c r="J28" s="54"/>
      <c r="K28" s="54"/>
    </row>
    <row r="29" spans="1:12" ht="15">
      <c r="A29" s="13"/>
      <c r="B29" s="10"/>
      <c r="C29" s="45"/>
      <c r="D29" s="45"/>
      <c r="E29" s="45"/>
      <c r="F29" s="54"/>
      <c r="G29" s="54"/>
      <c r="H29" s="54"/>
      <c r="I29" s="54"/>
      <c r="J29" s="54"/>
      <c r="K29" s="54"/>
    </row>
    <row r="30" spans="1:12" ht="15">
      <c r="A30" s="13"/>
      <c r="B30" s="10"/>
      <c r="C30" s="45"/>
      <c r="D30" s="45"/>
      <c r="E30" s="45"/>
      <c r="F30" s="54"/>
      <c r="G30" s="54"/>
      <c r="H30" s="54"/>
      <c r="I30" s="54"/>
      <c r="J30" s="54"/>
      <c r="K30" s="54"/>
    </row>
    <row r="31" spans="1:12" ht="15">
      <c r="A31" s="13"/>
      <c r="B31" s="10"/>
      <c r="C31" s="45"/>
      <c r="D31" s="45"/>
      <c r="E31" s="45"/>
      <c r="F31" s="54"/>
      <c r="G31" s="54"/>
      <c r="H31" s="54"/>
      <c r="I31" s="54"/>
      <c r="J31" s="54"/>
      <c r="K31" s="54"/>
    </row>
    <row r="32" spans="1:12" ht="15">
      <c r="A32" s="13"/>
      <c r="B32" s="10"/>
      <c r="C32" s="45"/>
      <c r="D32" s="45"/>
      <c r="E32" s="45"/>
      <c r="F32" s="54"/>
      <c r="G32" s="54"/>
      <c r="H32" s="54"/>
      <c r="I32" s="54"/>
      <c r="J32" s="54"/>
      <c r="K32" s="54"/>
    </row>
    <row r="33" spans="1:11" ht="15">
      <c r="A33" s="13"/>
      <c r="B33"/>
      <c r="C33" s="25"/>
      <c r="D33" s="25"/>
      <c r="E33" s="25"/>
      <c r="F33" s="25"/>
      <c r="G33" s="25"/>
      <c r="H33" s="54"/>
      <c r="I33" s="54"/>
      <c r="J33" s="54"/>
      <c r="K33" s="54"/>
    </row>
    <row r="34" spans="1:11" ht="15">
      <c r="A34" s="13"/>
      <c r="B34" s="17"/>
      <c r="C34" s="20"/>
      <c r="D34" s="20"/>
      <c r="E34" s="20"/>
      <c r="F34" s="20"/>
      <c r="G34" s="20"/>
      <c r="H34" s="20"/>
      <c r="I34" s="20"/>
      <c r="J34" s="20"/>
      <c r="K34" s="20"/>
    </row>
    <row r="35" spans="1:11" ht="18.75">
      <c r="A35" s="13"/>
      <c r="B35" s="732" t="s">
        <v>885</v>
      </c>
      <c r="C35" s="732"/>
      <c r="D35" s="732"/>
      <c r="E35" s="732"/>
      <c r="F35" s="732"/>
      <c r="G35" s="732"/>
      <c r="H35" s="732"/>
      <c r="I35" s="732"/>
      <c r="J35" s="732"/>
      <c r="K35" s="732"/>
    </row>
    <row r="36" spans="1:11" ht="15">
      <c r="A36" s="13"/>
      <c r="B36" s="39"/>
      <c r="C36" s="54"/>
      <c r="D36" s="54"/>
      <c r="E36" s="54"/>
      <c r="F36" s="54"/>
      <c r="G36" s="54"/>
      <c r="H36" s="54"/>
      <c r="I36" s="54"/>
      <c r="J36" s="54"/>
      <c r="K36" s="54"/>
    </row>
    <row r="37" spans="1:11" ht="15" customHeight="1">
      <c r="A37" s="13"/>
      <c r="B37" s="731" t="s">
        <v>1286</v>
      </c>
      <c r="C37" s="731"/>
      <c r="D37" s="731"/>
      <c r="E37" s="731"/>
      <c r="F37" s="731"/>
      <c r="G37" s="731"/>
      <c r="H37" s="731"/>
      <c r="I37" s="731"/>
      <c r="J37" s="731"/>
      <c r="K37" s="731"/>
    </row>
    <row r="38" spans="1:11" ht="15">
      <c r="A38" s="13"/>
      <c r="B38" s="731"/>
      <c r="C38" s="731"/>
      <c r="D38" s="731"/>
      <c r="E38" s="731"/>
      <c r="F38" s="731"/>
      <c r="G38" s="731"/>
      <c r="H38" s="731"/>
      <c r="I38" s="731"/>
      <c r="J38" s="731"/>
      <c r="K38" s="731"/>
    </row>
    <row r="39" spans="1:11" ht="15">
      <c r="A39" s="13"/>
      <c r="B39" s="731"/>
      <c r="C39" s="731"/>
      <c r="D39" s="731"/>
      <c r="E39" s="731"/>
      <c r="F39" s="731"/>
      <c r="G39" s="731"/>
      <c r="H39" s="731"/>
      <c r="I39" s="731"/>
      <c r="J39" s="731"/>
      <c r="K39" s="731"/>
    </row>
    <row r="40" spans="1:11" ht="15">
      <c r="A40" s="13"/>
      <c r="B40" s="44"/>
      <c r="C40" s="57"/>
      <c r="D40" s="57"/>
      <c r="E40" s="57"/>
      <c r="F40" s="54"/>
      <c r="G40" s="54"/>
      <c r="H40" s="54"/>
      <c r="I40" s="54"/>
      <c r="J40" s="54"/>
      <c r="K40" s="54"/>
    </row>
    <row r="41" spans="1:11" ht="15">
      <c r="A41" s="13"/>
      <c r="B41" s="10"/>
      <c r="C41" s="65"/>
      <c r="D41" s="66"/>
      <c r="E41" s="65" t="s">
        <v>270</v>
      </c>
      <c r="F41" s="1"/>
      <c r="G41" s="1"/>
      <c r="H41" s="1"/>
      <c r="I41" s="1"/>
      <c r="J41" s="1"/>
      <c r="K41" s="1"/>
    </row>
    <row r="42" spans="1:11" ht="15">
      <c r="A42" s="13"/>
      <c r="B42" s="12"/>
      <c r="C42" s="65" t="s">
        <v>257</v>
      </c>
      <c r="D42" s="49" t="s">
        <v>258</v>
      </c>
      <c r="E42" s="66" t="s">
        <v>832</v>
      </c>
      <c r="F42" s="66" t="s">
        <v>270</v>
      </c>
      <c r="G42" s="66" t="s">
        <v>271</v>
      </c>
      <c r="H42" s="66" t="s">
        <v>272</v>
      </c>
      <c r="I42" s="66" t="s">
        <v>996</v>
      </c>
      <c r="J42" s="66" t="s">
        <v>1101</v>
      </c>
      <c r="K42" s="66" t="s">
        <v>1136</v>
      </c>
    </row>
    <row r="43" spans="1:11" ht="15.75" thickBot="1">
      <c r="A43" s="13"/>
      <c r="B43" s="41"/>
      <c r="C43" s="68" t="s">
        <v>1</v>
      </c>
      <c r="D43" s="68" t="s">
        <v>1</v>
      </c>
      <c r="E43" s="68" t="s">
        <v>787</v>
      </c>
      <c r="F43" s="68" t="s">
        <v>19</v>
      </c>
      <c r="G43" s="68" t="s">
        <v>832</v>
      </c>
      <c r="H43" s="68" t="s">
        <v>19</v>
      </c>
      <c r="I43" s="68" t="s">
        <v>19</v>
      </c>
      <c r="J43" s="68" t="s">
        <v>19</v>
      </c>
      <c r="K43" s="68" t="s">
        <v>19</v>
      </c>
    </row>
    <row r="44" spans="1:11" ht="15">
      <c r="A44" s="13"/>
      <c r="B44" s="10"/>
      <c r="C44" s="45"/>
      <c r="D44" s="45"/>
      <c r="E44" s="45"/>
      <c r="F44" s="54"/>
      <c r="G44" s="54"/>
      <c r="H44" s="54"/>
      <c r="I44" s="54"/>
      <c r="J44" s="54"/>
      <c r="K44" s="54"/>
    </row>
    <row r="45" spans="1:11" ht="15">
      <c r="A45" s="13"/>
      <c r="B45" s="42" t="s">
        <v>598</v>
      </c>
      <c r="C45" s="45"/>
      <c r="D45" s="45"/>
      <c r="E45" s="45"/>
      <c r="F45" s="54"/>
      <c r="G45" s="54"/>
      <c r="H45" s="54"/>
      <c r="I45" s="54"/>
      <c r="J45" s="54"/>
      <c r="K45" s="54"/>
    </row>
    <row r="46" spans="1:11" ht="20.100000000000001" customHeight="1">
      <c r="A46" s="13"/>
      <c r="B46" s="14" t="s">
        <v>844</v>
      </c>
      <c r="C46" s="2">
        <f>'Budget Detail FY 2013-20'!L104</f>
        <v>176887</v>
      </c>
      <c r="D46" s="2">
        <f>'Budget Detail FY 2013-20'!M104</f>
        <v>193692</v>
      </c>
      <c r="E46" s="2">
        <f>'Budget Detail FY 2013-20'!N104</f>
        <v>207142</v>
      </c>
      <c r="F46" s="2">
        <f>'Budget Detail FY 2013-20'!O104</f>
        <v>207142</v>
      </c>
      <c r="G46" s="2">
        <f>'Budget Detail FY 2013-20'!P104</f>
        <v>217491</v>
      </c>
      <c r="H46" s="2">
        <f>'Budget Detail FY 2013-20'!Q104</f>
        <v>225103</v>
      </c>
      <c r="I46" s="2">
        <f>'Budget Detail FY 2013-20'!R104</f>
        <v>232982</v>
      </c>
      <c r="J46" s="2">
        <f>'Budget Detail FY 2013-20'!S104</f>
        <v>241136</v>
      </c>
      <c r="K46" s="2">
        <f>'Budget Detail FY 2013-20'!T104</f>
        <v>249576</v>
      </c>
    </row>
    <row r="47" spans="1:11" ht="20.100000000000001" customHeight="1">
      <c r="A47" s="13"/>
      <c r="B47" s="14" t="s">
        <v>845</v>
      </c>
      <c r="C47" s="2">
        <f>SUM('Budget Detail FY 2013-20'!L105:L110)</f>
        <v>60326</v>
      </c>
      <c r="D47" s="2">
        <f>SUM('Budget Detail FY 2013-20'!M105:M110)</f>
        <v>70446</v>
      </c>
      <c r="E47" s="2">
        <f>SUM('Budget Detail FY 2013-20'!N105:N110)</f>
        <v>73202</v>
      </c>
      <c r="F47" s="2">
        <f>SUM('Budget Detail FY 2013-20'!O105:O110)</f>
        <v>73768</v>
      </c>
      <c r="G47" s="2">
        <f>SUM('Budget Detail FY 2013-20'!P105:P110)</f>
        <v>80365</v>
      </c>
      <c r="H47" s="2">
        <f>SUM('Budget Detail FY 2013-20'!Q105:Q110)</f>
        <v>87320</v>
      </c>
      <c r="I47" s="2">
        <f>SUM('Budget Detail FY 2013-20'!R105:R110)</f>
        <v>93788</v>
      </c>
      <c r="J47" s="2">
        <f>SUM('Budget Detail FY 2013-20'!S105:S110)</f>
        <v>100800</v>
      </c>
      <c r="K47" s="2">
        <f>SUM('Budget Detail FY 2013-20'!T105:T110)</f>
        <v>108394</v>
      </c>
    </row>
    <row r="48" spans="1:11" ht="20.100000000000001" customHeight="1">
      <c r="A48" s="13"/>
      <c r="B48" s="14" t="s">
        <v>846</v>
      </c>
      <c r="C48" s="2">
        <f>SUM('Budget Detail FY 2013-20'!L111:L119)</f>
        <v>58584</v>
      </c>
      <c r="D48" s="2">
        <f>SUM('Budget Detail FY 2013-20'!M111:M119)</f>
        <v>60214</v>
      </c>
      <c r="E48" s="2">
        <f>SUM('Budget Detail FY 2013-20'!N111:N119)</f>
        <v>95450</v>
      </c>
      <c r="F48" s="2">
        <f>SUM('Budget Detail FY 2013-20'!O111:O119)</f>
        <v>90750</v>
      </c>
      <c r="G48" s="2">
        <f>SUM('Budget Detail FY 2013-20'!P111:P119)</f>
        <v>87050</v>
      </c>
      <c r="H48" s="2">
        <f>SUM('Budget Detail FY 2013-20'!Q111:Q119)</f>
        <v>88650</v>
      </c>
      <c r="I48" s="2">
        <f>SUM('Budget Detail FY 2013-20'!R111:R119)</f>
        <v>91250</v>
      </c>
      <c r="J48" s="2">
        <f>SUM('Budget Detail FY 2013-20'!S111:S119)</f>
        <v>91250</v>
      </c>
      <c r="K48" s="2">
        <f>SUM('Budget Detail FY 2013-20'!T111:T119)</f>
        <v>91250</v>
      </c>
    </row>
    <row r="49" spans="2:12" ht="20.100000000000001" customHeight="1">
      <c r="B49" s="14" t="s">
        <v>847</v>
      </c>
      <c r="C49" s="2">
        <f>SUM('Budget Detail FY 2013-20'!L120:L121)</f>
        <v>2105</v>
      </c>
      <c r="D49" s="2">
        <f>SUM('Budget Detail FY 2013-20'!M120:M121)</f>
        <v>3336</v>
      </c>
      <c r="E49" s="2">
        <f>SUM('Budget Detail FY 2013-20'!N120:N121)</f>
        <v>5100</v>
      </c>
      <c r="F49" s="2">
        <f>SUM('Budget Detail FY 2013-20'!O120:O121)</f>
        <v>5100</v>
      </c>
      <c r="G49" s="2">
        <f>SUM('Budget Detail FY 2013-20'!P120:P121)</f>
        <v>3600</v>
      </c>
      <c r="H49" s="2">
        <f>SUM('Budget Detail FY 2013-20'!Q120:Q121)</f>
        <v>4600</v>
      </c>
      <c r="I49" s="2">
        <f>SUM('Budget Detail FY 2013-20'!R120:R121)</f>
        <v>4600</v>
      </c>
      <c r="J49" s="2">
        <f>SUM('Budget Detail FY 2013-20'!S120:S121)</f>
        <v>4600</v>
      </c>
      <c r="K49" s="2">
        <f>SUM('Budget Detail FY 2013-20'!T120:T121)</f>
        <v>4600</v>
      </c>
    </row>
    <row r="50" spans="2:12" s="117" customFormat="1" ht="20.100000000000001" customHeight="1" thickBot="1">
      <c r="B50" s="118" t="s">
        <v>998</v>
      </c>
      <c r="C50" s="83">
        <f t="shared" ref="C50:J50" si="2">SUM(C46:C49)</f>
        <v>297902</v>
      </c>
      <c r="D50" s="83">
        <f>SUM(D46:D49)</f>
        <v>327688</v>
      </c>
      <c r="E50" s="83">
        <f t="shared" si="2"/>
        <v>380894</v>
      </c>
      <c r="F50" s="83">
        <f t="shared" si="2"/>
        <v>376760</v>
      </c>
      <c r="G50" s="83">
        <f t="shared" si="2"/>
        <v>388506</v>
      </c>
      <c r="H50" s="83">
        <f t="shared" si="2"/>
        <v>405673</v>
      </c>
      <c r="I50" s="83">
        <f t="shared" si="2"/>
        <v>422620</v>
      </c>
      <c r="J50" s="83">
        <f t="shared" si="2"/>
        <v>437786</v>
      </c>
      <c r="K50" s="83">
        <f>SUM(K46:K49)</f>
        <v>453820</v>
      </c>
      <c r="L50" s="722"/>
    </row>
    <row r="51" spans="2:12" s="138" customFormat="1" ht="15.75" hidden="1" customHeight="1" thickTop="1">
      <c r="B51" s="127"/>
      <c r="C51" s="137">
        <f>'Budget Detail FY 2013-20'!L122</f>
        <v>297902</v>
      </c>
      <c r="D51" s="137">
        <f>'Budget Detail FY 2013-20'!M122</f>
        <v>327688</v>
      </c>
      <c r="E51" s="137">
        <f>'Budget Detail FY 2013-20'!N122</f>
        <v>380894</v>
      </c>
      <c r="F51" s="137">
        <f>'Budget Detail FY 2013-20'!O122</f>
        <v>376760</v>
      </c>
      <c r="G51" s="137">
        <f>'Budget Detail FY 2013-20'!P122</f>
        <v>388506</v>
      </c>
      <c r="H51" s="137">
        <f>'Budget Detail FY 2013-20'!Q122</f>
        <v>405673</v>
      </c>
      <c r="I51" s="137">
        <f>'Budget Detail FY 2013-20'!R122</f>
        <v>422620</v>
      </c>
      <c r="J51" s="137">
        <f>'Budget Detail FY 2013-20'!S122</f>
        <v>437786</v>
      </c>
      <c r="K51" s="137">
        <f>'Budget Detail FY 2013-20'!T122</f>
        <v>453820</v>
      </c>
      <c r="L51" s="722"/>
    </row>
    <row r="52" spans="2:12" s="145" customFormat="1" ht="14.25" hidden="1" customHeight="1">
      <c r="B52" s="130"/>
      <c r="C52" s="144">
        <f>C50-C51</f>
        <v>0</v>
      </c>
      <c r="D52" s="144">
        <f t="shared" ref="D52:K52" si="3">D50-D51</f>
        <v>0</v>
      </c>
      <c r="E52" s="144">
        <f t="shared" si="3"/>
        <v>0</v>
      </c>
      <c r="F52" s="144">
        <f t="shared" si="3"/>
        <v>0</v>
      </c>
      <c r="G52" s="144">
        <f t="shared" si="3"/>
        <v>0</v>
      </c>
      <c r="H52" s="144">
        <f t="shared" si="3"/>
        <v>0</v>
      </c>
      <c r="I52" s="144">
        <f t="shared" si="3"/>
        <v>0</v>
      </c>
      <c r="J52" s="144">
        <f t="shared" si="3"/>
        <v>0</v>
      </c>
      <c r="K52" s="144">
        <f t="shared" si="3"/>
        <v>0</v>
      </c>
      <c r="L52" s="722"/>
    </row>
    <row r="53" spans="2:12" s="117" customFormat="1" ht="15" thickTop="1">
      <c r="B53" s="16"/>
      <c r="C53" s="135"/>
      <c r="D53" s="135"/>
      <c r="E53" s="135"/>
      <c r="F53" s="135"/>
      <c r="G53" s="135"/>
      <c r="H53" s="135"/>
      <c r="I53" s="135"/>
      <c r="J53" s="135"/>
      <c r="K53" s="135"/>
      <c r="L53" s="722"/>
    </row>
    <row r="54" spans="2:12" ht="15">
      <c r="B54" s="10"/>
      <c r="C54" s="45"/>
      <c r="D54" s="45"/>
      <c r="E54" s="45"/>
      <c r="F54" s="54"/>
      <c r="G54" s="54"/>
      <c r="H54" s="54"/>
      <c r="I54" s="54"/>
      <c r="J54" s="54"/>
      <c r="K54" s="54"/>
    </row>
    <row r="55" spans="2:12" ht="15">
      <c r="B55" s="10"/>
      <c r="C55" s="45"/>
      <c r="D55" s="45"/>
      <c r="E55" s="45"/>
      <c r="F55" s="54"/>
      <c r="G55" s="54"/>
      <c r="H55" s="54"/>
      <c r="I55" s="54"/>
      <c r="J55" s="54"/>
      <c r="K55" s="54"/>
    </row>
    <row r="56" spans="2:12" ht="12.75" customHeight="1">
      <c r="B56" s="10"/>
      <c r="C56" s="45"/>
      <c r="D56" s="45"/>
      <c r="E56" s="45"/>
      <c r="F56" s="54"/>
      <c r="G56" s="54"/>
      <c r="H56" s="54"/>
      <c r="I56" s="54"/>
      <c r="J56" s="54"/>
      <c r="K56" s="54"/>
    </row>
    <row r="57" spans="2:12" ht="17.25" customHeight="1">
      <c r="B57" s="10"/>
      <c r="C57" s="45"/>
      <c r="D57" s="45"/>
      <c r="E57" s="45"/>
      <c r="F57" s="54"/>
      <c r="G57" s="54"/>
      <c r="H57" s="54"/>
      <c r="I57" s="54"/>
      <c r="J57" s="54"/>
      <c r="K57" s="54"/>
    </row>
    <row r="58" spans="2:12" ht="15">
      <c r="B58" s="10"/>
      <c r="C58" s="45"/>
      <c r="D58" s="45"/>
      <c r="E58" s="45"/>
      <c r="F58" s="54"/>
      <c r="G58" s="54"/>
      <c r="H58" s="54"/>
      <c r="I58" s="54"/>
      <c r="J58" s="54"/>
      <c r="K58" s="54"/>
    </row>
    <row r="59" spans="2:12" ht="15">
      <c r="B59" s="10"/>
      <c r="C59" s="45"/>
      <c r="D59" s="45"/>
      <c r="E59" s="45"/>
      <c r="F59" s="54"/>
      <c r="G59" s="54"/>
      <c r="H59" s="54"/>
      <c r="I59" s="54"/>
      <c r="J59" s="54"/>
      <c r="K59" s="54"/>
    </row>
    <row r="60" spans="2:12" ht="15">
      <c r="B60" s="10"/>
      <c r="C60" s="45"/>
      <c r="D60" s="45"/>
      <c r="E60" s="45"/>
      <c r="F60" s="54"/>
      <c r="G60" s="54"/>
      <c r="H60" s="54"/>
      <c r="I60" s="54"/>
      <c r="J60" s="54"/>
      <c r="K60" s="54"/>
    </row>
    <row r="61" spans="2:12" ht="15">
      <c r="B61" s="10"/>
      <c r="C61" s="45"/>
      <c r="D61" s="45"/>
      <c r="E61" s="45"/>
      <c r="F61" s="54"/>
      <c r="G61" s="54"/>
      <c r="H61" s="54"/>
      <c r="I61" s="54"/>
      <c r="J61" s="54"/>
      <c r="K61" s="54"/>
    </row>
    <row r="62" spans="2:12" ht="15">
      <c r="B62" s="10"/>
      <c r="C62" s="45"/>
      <c r="D62" s="45"/>
      <c r="E62" s="45"/>
      <c r="F62" s="54"/>
      <c r="G62" s="54"/>
      <c r="H62" s="54"/>
      <c r="I62" s="54"/>
      <c r="J62" s="54"/>
      <c r="K62" s="54"/>
    </row>
    <row r="63" spans="2:12" ht="15">
      <c r="B63" s="10"/>
      <c r="C63" s="45"/>
      <c r="D63" s="45"/>
      <c r="E63" s="45"/>
      <c r="F63" s="54"/>
      <c r="G63" s="54"/>
      <c r="H63" s="54"/>
      <c r="I63" s="54"/>
      <c r="J63" s="54"/>
      <c r="K63" s="54"/>
    </row>
    <row r="64" spans="2:12" ht="15">
      <c r="B64" s="10"/>
      <c r="C64" s="45"/>
      <c r="D64" s="45"/>
      <c r="E64" s="45"/>
      <c r="F64" s="54"/>
      <c r="G64" s="54"/>
      <c r="H64" s="54"/>
      <c r="I64" s="54"/>
      <c r="J64" s="54"/>
      <c r="K64" s="54"/>
    </row>
    <row r="65" spans="2:11" ht="15">
      <c r="B65" s="10"/>
      <c r="C65" s="45"/>
      <c r="D65" s="45"/>
      <c r="E65" s="45"/>
      <c r="F65" s="54"/>
      <c r="G65" s="54"/>
      <c r="H65" s="54"/>
      <c r="I65" s="54"/>
      <c r="J65" s="54"/>
      <c r="K65" s="54"/>
    </row>
    <row r="67" spans="2:11" ht="18.75">
      <c r="B67" s="737" t="s">
        <v>886</v>
      </c>
      <c r="C67" s="737"/>
      <c r="D67" s="737"/>
      <c r="E67" s="737"/>
      <c r="F67" s="737"/>
      <c r="G67" s="737"/>
      <c r="H67" s="737"/>
      <c r="I67" s="737"/>
      <c r="J67" s="737"/>
      <c r="K67" s="737"/>
    </row>
    <row r="68" spans="2:11" ht="15">
      <c r="B68" s="39"/>
      <c r="C68" s="54"/>
      <c r="D68" s="54"/>
      <c r="E68" s="54"/>
      <c r="F68" s="54"/>
      <c r="G68" s="54"/>
      <c r="H68" s="54"/>
      <c r="I68" s="54"/>
      <c r="J68" s="54"/>
      <c r="K68" s="54"/>
    </row>
    <row r="69" spans="2:11" ht="12.75" customHeight="1">
      <c r="B69" s="738" t="s">
        <v>1287</v>
      </c>
      <c r="C69" s="738"/>
      <c r="D69" s="738"/>
      <c r="E69" s="738"/>
      <c r="F69" s="738"/>
      <c r="G69" s="738"/>
      <c r="H69" s="738"/>
      <c r="I69" s="738"/>
      <c r="J69" s="738"/>
      <c r="K69" s="738"/>
    </row>
    <row r="70" spans="2:11" ht="18.75" customHeight="1">
      <c r="B70" s="738"/>
      <c r="C70" s="738"/>
      <c r="D70" s="738"/>
      <c r="E70" s="738"/>
      <c r="F70" s="738"/>
      <c r="G70" s="738"/>
      <c r="H70" s="738"/>
      <c r="I70" s="738"/>
      <c r="J70" s="738"/>
      <c r="K70" s="738"/>
    </row>
    <row r="71" spans="2:11" ht="15">
      <c r="B71" s="46"/>
      <c r="C71" s="58"/>
      <c r="D71" s="58"/>
      <c r="E71" s="58"/>
      <c r="F71" s="54"/>
      <c r="G71" s="54"/>
      <c r="H71" s="54"/>
      <c r="I71" s="54"/>
      <c r="J71" s="54"/>
      <c r="K71" s="54"/>
    </row>
    <row r="72" spans="2:11" ht="15">
      <c r="B72" s="10"/>
      <c r="C72" s="65"/>
      <c r="D72" s="66"/>
      <c r="E72" s="65" t="s">
        <v>270</v>
      </c>
      <c r="F72" s="1"/>
      <c r="G72" s="1"/>
      <c r="H72" s="1"/>
      <c r="I72" s="1"/>
      <c r="J72" s="1"/>
      <c r="K72" s="1"/>
    </row>
    <row r="73" spans="2:11" ht="15">
      <c r="B73" s="12"/>
      <c r="C73" s="65" t="s">
        <v>257</v>
      </c>
      <c r="D73" s="49" t="s">
        <v>258</v>
      </c>
      <c r="E73" s="66" t="s">
        <v>832</v>
      </c>
      <c r="F73" s="66" t="s">
        <v>270</v>
      </c>
      <c r="G73" s="66" t="s">
        <v>271</v>
      </c>
      <c r="H73" s="66" t="s">
        <v>272</v>
      </c>
      <c r="I73" s="66" t="s">
        <v>996</v>
      </c>
      <c r="J73" s="66" t="s">
        <v>1101</v>
      </c>
      <c r="K73" s="66" t="s">
        <v>1136</v>
      </c>
    </row>
    <row r="74" spans="2:11" ht="15.75" thickBot="1">
      <c r="B74" s="41"/>
      <c r="C74" s="68" t="s">
        <v>1</v>
      </c>
      <c r="D74" s="68" t="s">
        <v>1</v>
      </c>
      <c r="E74" s="68" t="s">
        <v>787</v>
      </c>
      <c r="F74" s="68" t="s">
        <v>19</v>
      </c>
      <c r="G74" s="68" t="s">
        <v>832</v>
      </c>
      <c r="H74" s="68" t="s">
        <v>19</v>
      </c>
      <c r="I74" s="68" t="s">
        <v>19</v>
      </c>
      <c r="J74" s="68" t="s">
        <v>19</v>
      </c>
      <c r="K74" s="68" t="s">
        <v>19</v>
      </c>
    </row>
    <row r="75" spans="2:11" ht="15">
      <c r="B75" s="10"/>
      <c r="C75" s="45"/>
      <c r="D75" s="45"/>
      <c r="E75" s="45"/>
      <c r="F75" s="54"/>
      <c r="G75" s="54"/>
      <c r="H75" s="54"/>
      <c r="I75" s="54"/>
      <c r="J75" s="54"/>
      <c r="K75" s="54"/>
    </row>
    <row r="76" spans="2:11" ht="15">
      <c r="B76" s="42" t="s">
        <v>598</v>
      </c>
      <c r="C76" s="45"/>
      <c r="D76" s="45"/>
      <c r="E76" s="45"/>
      <c r="F76" s="54"/>
      <c r="G76" s="54"/>
      <c r="H76" s="54"/>
      <c r="I76" s="54"/>
      <c r="J76" s="54"/>
      <c r="K76" s="54"/>
    </row>
    <row r="77" spans="2:11" ht="20.100000000000001" customHeight="1">
      <c r="B77" s="14" t="s">
        <v>844</v>
      </c>
      <c r="C77" s="2">
        <f>SUM('Budget Detail FY 2013-20'!L125:L131)</f>
        <v>2185748</v>
      </c>
      <c r="D77" s="2">
        <f>SUM('Budget Detail FY 2013-20'!M125:M131)</f>
        <v>2321323</v>
      </c>
      <c r="E77" s="2">
        <f>SUM('Budget Detail FY 2013-20'!N125:N131)</f>
        <v>2659683</v>
      </c>
      <c r="F77" s="2">
        <f>SUM('Budget Detail FY 2013-20'!O125:O131)</f>
        <v>2659683</v>
      </c>
      <c r="G77" s="2">
        <f>SUM('Budget Detail FY 2013-20'!P125:P131)</f>
        <v>2758349</v>
      </c>
      <c r="H77" s="2">
        <f>SUM('Budget Detail FY 2013-20'!Q125:Q131)</f>
        <v>2847857</v>
      </c>
      <c r="I77" s="2">
        <f>SUM('Budget Detail FY 2013-20'!R125:R131)</f>
        <v>2940497</v>
      </c>
      <c r="J77" s="2">
        <f>SUM('Budget Detail FY 2013-20'!S125:S131)</f>
        <v>3036379</v>
      </c>
      <c r="K77" s="2">
        <f>SUM('Budget Detail FY 2013-20'!T125:T131)</f>
        <v>3135618</v>
      </c>
    </row>
    <row r="78" spans="2:11" ht="20.100000000000001" customHeight="1">
      <c r="B78" s="14" t="s">
        <v>845</v>
      </c>
      <c r="C78" s="2">
        <f>SUM('Budget Detail FY 2013-20'!L132:L138)</f>
        <v>1071102</v>
      </c>
      <c r="D78" s="2">
        <f>SUM('Budget Detail FY 2013-20'!M132:M138)</f>
        <v>1208317</v>
      </c>
      <c r="E78" s="2">
        <f>SUM('Budget Detail FY 2013-20'!N132:N138)</f>
        <v>1464454</v>
      </c>
      <c r="F78" s="2">
        <f>SUM('Budget Detail FY 2013-20'!O132:O138)</f>
        <v>1474617</v>
      </c>
      <c r="G78" s="2">
        <f>SUM('Budget Detail FY 2013-20'!P132:P138)</f>
        <v>1641285</v>
      </c>
      <c r="H78" s="2">
        <f>SUM('Budget Detail FY 2013-20'!Q132:Q138)</f>
        <v>1754104</v>
      </c>
      <c r="I78" s="2">
        <f>SUM('Budget Detail FY 2013-20'!R132:R138)</f>
        <v>1870944</v>
      </c>
      <c r="J78" s="2">
        <f>SUM('Budget Detail FY 2013-20'!S132:S138)</f>
        <v>1992750</v>
      </c>
      <c r="K78" s="2">
        <f>SUM('Budget Detail FY 2013-20'!T132:T138)</f>
        <v>2119907</v>
      </c>
    </row>
    <row r="79" spans="2:11" ht="20.100000000000001" customHeight="1">
      <c r="B79" s="14" t="s">
        <v>846</v>
      </c>
      <c r="C79" s="2">
        <f>SUM('Budget Detail FY 2013-20'!L139:L156)</f>
        <v>157048</v>
      </c>
      <c r="D79" s="2">
        <f>SUM('Budget Detail FY 2013-20'!M139:M156)</f>
        <v>149909</v>
      </c>
      <c r="E79" s="2">
        <f>SUM('Budget Detail FY 2013-20'!N139:N156)</f>
        <v>284908</v>
      </c>
      <c r="F79" s="2">
        <f>SUM('Budget Detail FY 2013-20'!O139:O156)</f>
        <v>284568</v>
      </c>
      <c r="G79" s="2">
        <f>SUM('Budget Detail FY 2013-20'!P139:P156)</f>
        <v>420597</v>
      </c>
      <c r="H79" s="2">
        <f>SUM('Budget Detail FY 2013-20'!Q139:Q156)</f>
        <v>373867</v>
      </c>
      <c r="I79" s="2">
        <f>SUM('Budget Detail FY 2013-20'!R139:R156)</f>
        <v>374867</v>
      </c>
      <c r="J79" s="2">
        <f>SUM('Budget Detail FY 2013-20'!S139:S156)</f>
        <v>373867</v>
      </c>
      <c r="K79" s="2">
        <f>SUM('Budget Detail FY 2013-20'!T139:T156)</f>
        <v>363867</v>
      </c>
    </row>
    <row r="80" spans="2:11" ht="20.100000000000001" customHeight="1">
      <c r="B80" s="14" t="s">
        <v>847</v>
      </c>
      <c r="C80" s="2">
        <f>SUM('Budget Detail FY 2013-20'!L157:L165)</f>
        <v>137058</v>
      </c>
      <c r="D80" s="2">
        <f>SUM('Budget Detail FY 2013-20'!M157:M165)</f>
        <v>132585</v>
      </c>
      <c r="E80" s="2">
        <f>SUM('Budget Detail FY 2013-20'!N157:N165)</f>
        <v>172637</v>
      </c>
      <c r="F80" s="2">
        <f>SUM('Budget Detail FY 2013-20'!O157:O165)</f>
        <v>172637</v>
      </c>
      <c r="G80" s="2">
        <f>SUM('Budget Detail FY 2013-20'!P157:P165)</f>
        <v>158200</v>
      </c>
      <c r="H80" s="2">
        <f>SUM('Budget Detail FY 2013-20'!Q157:Q165)</f>
        <v>164500</v>
      </c>
      <c r="I80" s="2">
        <f>SUM('Budget Detail FY 2013-20'!R157:R165)</f>
        <v>171241</v>
      </c>
      <c r="J80" s="2">
        <f>SUM('Budget Detail FY 2013-20'!S157:S165)</f>
        <v>178454</v>
      </c>
      <c r="K80" s="2">
        <f>SUM('Budget Detail FY 2013-20'!T157:T165)</f>
        <v>186172</v>
      </c>
    </row>
    <row r="81" spans="2:12" s="117" customFormat="1" ht="20.100000000000001" customHeight="1" thickBot="1">
      <c r="B81" s="118" t="s">
        <v>999</v>
      </c>
      <c r="C81" s="83">
        <f t="shared" ref="C81:J81" si="4">SUM(C77:C80)</f>
        <v>3550956</v>
      </c>
      <c r="D81" s="83">
        <f t="shared" si="4"/>
        <v>3812134</v>
      </c>
      <c r="E81" s="83">
        <f>SUM(E77:E80)</f>
        <v>4581682</v>
      </c>
      <c r="F81" s="83">
        <f t="shared" si="4"/>
        <v>4591505</v>
      </c>
      <c r="G81" s="83">
        <f t="shared" si="4"/>
        <v>4978431</v>
      </c>
      <c r="H81" s="83">
        <f t="shared" si="4"/>
        <v>5140328</v>
      </c>
      <c r="I81" s="83">
        <f t="shared" si="4"/>
        <v>5357549</v>
      </c>
      <c r="J81" s="83">
        <f t="shared" si="4"/>
        <v>5581450</v>
      </c>
      <c r="K81" s="83">
        <f>SUM(K77:K80)</f>
        <v>5805564</v>
      </c>
      <c r="L81" s="722"/>
    </row>
    <row r="82" spans="2:12" s="138" customFormat="1" ht="15.75" hidden="1" thickTop="1">
      <c r="B82" s="127"/>
      <c r="C82" s="137">
        <f>'Budget Detail FY 2013-20'!L166</f>
        <v>3550956</v>
      </c>
      <c r="D82" s="137">
        <f>'Budget Detail FY 2013-20'!M166</f>
        <v>3812134</v>
      </c>
      <c r="E82" s="137">
        <f>'Budget Detail FY 2013-20'!N166</f>
        <v>4581682</v>
      </c>
      <c r="F82" s="137">
        <f>'Budget Detail FY 2013-20'!O166</f>
        <v>4591505</v>
      </c>
      <c r="G82" s="137">
        <f>'Budget Detail FY 2013-20'!P166</f>
        <v>4978431</v>
      </c>
      <c r="H82" s="137">
        <f>'Budget Detail FY 2013-20'!Q166</f>
        <v>5140328</v>
      </c>
      <c r="I82" s="137">
        <f>'Budget Detail FY 2013-20'!R166</f>
        <v>5357549</v>
      </c>
      <c r="J82" s="137">
        <f>'Budget Detail FY 2013-20'!S166</f>
        <v>5581450</v>
      </c>
      <c r="K82" s="137">
        <f>'Budget Detail FY 2013-20'!T166</f>
        <v>5805564</v>
      </c>
      <c r="L82" s="722"/>
    </row>
    <row r="83" spans="2:12" s="145" customFormat="1" ht="14.25" hidden="1">
      <c r="B83" s="130"/>
      <c r="C83" s="144">
        <f>C81-C82</f>
        <v>0</v>
      </c>
      <c r="D83" s="144">
        <f t="shared" ref="D83:K83" si="5">D81-D82</f>
        <v>0</v>
      </c>
      <c r="E83" s="144">
        <f t="shared" si="5"/>
        <v>0</v>
      </c>
      <c r="F83" s="144">
        <f t="shared" si="5"/>
        <v>0</v>
      </c>
      <c r="G83" s="144">
        <f t="shared" si="5"/>
        <v>0</v>
      </c>
      <c r="H83" s="144">
        <f t="shared" si="5"/>
        <v>0</v>
      </c>
      <c r="I83" s="144">
        <f t="shared" si="5"/>
        <v>0</v>
      </c>
      <c r="J83" s="144">
        <f t="shared" si="5"/>
        <v>0</v>
      </c>
      <c r="K83" s="144">
        <f t="shared" si="5"/>
        <v>0</v>
      </c>
      <c r="L83" s="722"/>
    </row>
    <row r="84" spans="2:12" s="117" customFormat="1" ht="15" thickTop="1">
      <c r="B84" s="16"/>
      <c r="C84" s="135"/>
      <c r="D84" s="135"/>
      <c r="E84" s="135"/>
      <c r="F84" s="135"/>
      <c r="G84" s="135"/>
      <c r="H84" s="135"/>
      <c r="I84" s="135"/>
      <c r="J84" s="135"/>
      <c r="K84" s="135"/>
      <c r="L84" s="722"/>
    </row>
    <row r="85" spans="2:12" ht="15">
      <c r="B85" s="10"/>
      <c r="C85" s="45"/>
      <c r="D85" s="45"/>
      <c r="E85" s="45"/>
      <c r="F85" s="54"/>
      <c r="G85" s="54"/>
      <c r="H85" s="54"/>
      <c r="I85" s="54"/>
      <c r="J85" s="54"/>
      <c r="K85" s="54"/>
    </row>
    <row r="86" spans="2:12" ht="15">
      <c r="B86" s="10"/>
      <c r="C86" s="45"/>
      <c r="D86" s="45"/>
      <c r="E86" s="45"/>
      <c r="F86" s="54"/>
      <c r="G86" s="54"/>
      <c r="H86" s="54"/>
      <c r="I86" s="54"/>
      <c r="J86" s="54"/>
      <c r="K86" s="54"/>
    </row>
    <row r="87" spans="2:12" ht="15">
      <c r="B87" s="10"/>
      <c r="C87" s="45"/>
      <c r="D87" s="45"/>
      <c r="E87" s="45"/>
      <c r="F87" s="54"/>
      <c r="G87" s="54"/>
      <c r="H87" s="54"/>
      <c r="I87" s="54"/>
      <c r="J87" s="54"/>
      <c r="K87" s="54"/>
    </row>
    <row r="88" spans="2:12" ht="15">
      <c r="B88" s="10"/>
      <c r="C88" s="45"/>
      <c r="D88" s="45"/>
      <c r="E88" s="45"/>
      <c r="F88" s="54"/>
      <c r="G88" s="54"/>
      <c r="H88" s="54"/>
      <c r="I88" s="54"/>
      <c r="J88" s="54"/>
      <c r="K88" s="54"/>
    </row>
    <row r="89" spans="2:12" ht="15">
      <c r="B89" s="10"/>
      <c r="C89" s="45"/>
      <c r="D89" s="45"/>
      <c r="E89" s="45"/>
      <c r="F89" s="54"/>
      <c r="G89" s="54"/>
      <c r="H89" s="54"/>
      <c r="I89" s="54"/>
      <c r="J89" s="54"/>
      <c r="K89" s="54"/>
    </row>
    <row r="90" spans="2:12" ht="15">
      <c r="B90" s="10"/>
      <c r="C90" s="45"/>
      <c r="D90" s="45"/>
      <c r="E90" s="45"/>
      <c r="F90" s="54"/>
      <c r="G90" s="54"/>
      <c r="H90" s="54"/>
      <c r="I90" s="54"/>
      <c r="J90" s="54"/>
      <c r="K90" s="54"/>
    </row>
    <row r="91" spans="2:12" ht="15">
      <c r="B91" s="10"/>
      <c r="C91" s="45"/>
      <c r="D91" s="45"/>
      <c r="E91" s="45"/>
      <c r="F91" s="54"/>
      <c r="G91" s="54"/>
      <c r="H91" s="54"/>
      <c r="I91" s="54"/>
      <c r="J91" s="54"/>
      <c r="K91" s="54"/>
    </row>
    <row r="92" spans="2:12" ht="15">
      <c r="B92" s="10"/>
      <c r="C92" s="45"/>
      <c r="D92" s="45"/>
      <c r="E92" s="45"/>
      <c r="F92" s="54"/>
      <c r="G92" s="54"/>
      <c r="H92" s="54"/>
      <c r="I92" s="54"/>
      <c r="J92" s="54"/>
      <c r="K92" s="54"/>
    </row>
    <row r="93" spans="2:12" ht="15">
      <c r="B93" s="10"/>
      <c r="C93" s="45"/>
      <c r="D93" s="45"/>
      <c r="E93" s="45"/>
      <c r="F93" s="54"/>
      <c r="G93" s="54"/>
      <c r="H93" s="54"/>
      <c r="I93" s="54"/>
      <c r="J93" s="54"/>
      <c r="K93" s="54"/>
    </row>
    <row r="94" spans="2:12" ht="15">
      <c r="B94" s="10"/>
      <c r="C94" s="45"/>
      <c r="D94" s="45"/>
      <c r="E94" s="45"/>
      <c r="F94" s="54"/>
      <c r="G94" s="54"/>
      <c r="H94" s="54"/>
      <c r="I94" s="54"/>
      <c r="J94" s="54"/>
      <c r="K94" s="54"/>
    </row>
    <row r="95" spans="2:12" ht="15">
      <c r="B95" s="10"/>
      <c r="C95" s="45"/>
      <c r="D95" s="45"/>
      <c r="E95" s="45"/>
      <c r="F95" s="54"/>
      <c r="G95" s="54"/>
      <c r="H95" s="54"/>
      <c r="I95" s="54"/>
      <c r="J95" s="54"/>
      <c r="K95" s="54"/>
    </row>
    <row r="96" spans="2:12" ht="15">
      <c r="B96" s="10"/>
      <c r="C96" s="45"/>
      <c r="D96" s="45"/>
      <c r="E96" s="45"/>
      <c r="F96" s="54"/>
      <c r="G96" s="54"/>
      <c r="H96" s="54"/>
      <c r="I96" s="54"/>
      <c r="J96" s="54"/>
      <c r="K96" s="54"/>
    </row>
    <row r="97" spans="2:11" ht="15">
      <c r="B97" s="10"/>
      <c r="C97" s="45"/>
      <c r="D97" s="45"/>
      <c r="E97" s="45"/>
      <c r="F97" s="54"/>
      <c r="G97" s="54"/>
      <c r="H97" s="54"/>
      <c r="I97" s="54"/>
      <c r="J97" s="54"/>
      <c r="K97" s="54"/>
    </row>
    <row r="98" spans="2:11" ht="15">
      <c r="B98" s="10"/>
      <c r="C98" s="45"/>
      <c r="D98" s="45"/>
      <c r="E98" s="45"/>
      <c r="F98" s="54"/>
      <c r="G98" s="54"/>
      <c r="H98" s="54"/>
      <c r="I98" s="54"/>
      <c r="J98" s="54"/>
      <c r="K98" s="54"/>
    </row>
    <row r="99" spans="2:11" ht="15">
      <c r="B99" s="10"/>
      <c r="C99" s="45"/>
      <c r="D99" s="45"/>
      <c r="E99" s="45"/>
      <c r="F99" s="54"/>
      <c r="G99" s="54"/>
      <c r="H99" s="54"/>
      <c r="I99" s="54"/>
      <c r="J99" s="54"/>
      <c r="K99" s="54"/>
    </row>
    <row r="100" spans="2:11" ht="15">
      <c r="B100" s="13"/>
      <c r="C100" s="20"/>
      <c r="D100" s="20"/>
      <c r="E100" s="20"/>
      <c r="F100" s="20"/>
      <c r="G100" s="20"/>
      <c r="H100" s="20"/>
      <c r="I100" s="20"/>
      <c r="J100" s="20"/>
      <c r="K100" s="20"/>
    </row>
    <row r="101" spans="2:11" ht="18.75" customHeight="1">
      <c r="B101" s="730" t="s">
        <v>887</v>
      </c>
      <c r="C101" s="730"/>
      <c r="D101" s="730"/>
      <c r="E101" s="730"/>
      <c r="F101" s="730"/>
      <c r="G101" s="730"/>
      <c r="H101" s="730"/>
      <c r="I101" s="730"/>
      <c r="J101" s="730"/>
      <c r="K101" s="730"/>
    </row>
    <row r="102" spans="2:11" ht="15">
      <c r="B102" s="39"/>
      <c r="C102" s="54"/>
      <c r="D102" s="54"/>
      <c r="E102" s="54"/>
      <c r="F102" s="54"/>
      <c r="G102" s="54"/>
      <c r="H102" s="54"/>
      <c r="I102" s="54"/>
      <c r="J102" s="54"/>
      <c r="K102" s="54"/>
    </row>
    <row r="103" spans="2:11" ht="12.75" customHeight="1">
      <c r="B103" s="734" t="s">
        <v>888</v>
      </c>
      <c r="C103" s="734"/>
      <c r="D103" s="734"/>
      <c r="E103" s="734"/>
      <c r="F103" s="734"/>
      <c r="G103" s="734"/>
      <c r="H103" s="734"/>
      <c r="I103" s="734"/>
      <c r="J103" s="734"/>
      <c r="K103" s="734"/>
    </row>
    <row r="104" spans="2:11" ht="12.75" customHeight="1">
      <c r="B104" s="734"/>
      <c r="C104" s="734"/>
      <c r="D104" s="734"/>
      <c r="E104" s="734"/>
      <c r="F104" s="734"/>
      <c r="G104" s="734"/>
      <c r="H104" s="734"/>
      <c r="I104" s="734"/>
      <c r="J104" s="734"/>
      <c r="K104" s="734"/>
    </row>
    <row r="105" spans="2:11" ht="12.75" customHeight="1">
      <c r="B105" s="734"/>
      <c r="C105" s="734"/>
      <c r="D105" s="734"/>
      <c r="E105" s="734"/>
      <c r="F105" s="734"/>
      <c r="G105" s="734"/>
      <c r="H105" s="734"/>
      <c r="I105" s="734"/>
      <c r="J105" s="734"/>
      <c r="K105" s="734"/>
    </row>
    <row r="106" spans="2:11" ht="12.75" customHeight="1">
      <c r="B106" s="734"/>
      <c r="C106" s="734"/>
      <c r="D106" s="734"/>
      <c r="E106" s="734"/>
      <c r="F106" s="734"/>
      <c r="G106" s="734"/>
      <c r="H106" s="734"/>
      <c r="I106" s="734"/>
      <c r="J106" s="734"/>
      <c r="K106" s="734"/>
    </row>
    <row r="107" spans="2:11" ht="15">
      <c r="B107" s="44"/>
      <c r="C107" s="57"/>
      <c r="D107" s="57"/>
      <c r="E107" s="57"/>
      <c r="F107" s="54"/>
      <c r="G107" s="54"/>
      <c r="H107" s="54"/>
      <c r="I107" s="54"/>
      <c r="J107" s="54"/>
      <c r="K107" s="54"/>
    </row>
    <row r="108" spans="2:11" ht="15">
      <c r="B108" s="10"/>
      <c r="C108" s="65"/>
      <c r="D108" s="66"/>
      <c r="E108" s="65" t="s">
        <v>270</v>
      </c>
      <c r="F108" s="1"/>
      <c r="G108" s="1"/>
      <c r="H108" s="1"/>
      <c r="I108" s="1"/>
      <c r="J108" s="1"/>
      <c r="K108" s="1"/>
    </row>
    <row r="109" spans="2:11" ht="15">
      <c r="B109" s="12"/>
      <c r="C109" s="65" t="s">
        <v>257</v>
      </c>
      <c r="D109" s="49" t="s">
        <v>258</v>
      </c>
      <c r="E109" s="66" t="s">
        <v>832</v>
      </c>
      <c r="F109" s="66" t="s">
        <v>270</v>
      </c>
      <c r="G109" s="66" t="s">
        <v>271</v>
      </c>
      <c r="H109" s="66" t="s">
        <v>272</v>
      </c>
      <c r="I109" s="66" t="s">
        <v>996</v>
      </c>
      <c r="J109" s="66" t="s">
        <v>1101</v>
      </c>
      <c r="K109" s="66" t="s">
        <v>1136</v>
      </c>
    </row>
    <row r="110" spans="2:11" ht="15.75" thickBot="1">
      <c r="B110" s="41"/>
      <c r="C110" s="68" t="s">
        <v>1</v>
      </c>
      <c r="D110" s="68" t="s">
        <v>1</v>
      </c>
      <c r="E110" s="68" t="s">
        <v>787</v>
      </c>
      <c r="F110" s="68" t="s">
        <v>19</v>
      </c>
      <c r="G110" s="68" t="s">
        <v>832</v>
      </c>
      <c r="H110" s="68" t="s">
        <v>19</v>
      </c>
      <c r="I110" s="68" t="s">
        <v>19</v>
      </c>
      <c r="J110" s="68" t="s">
        <v>19</v>
      </c>
      <c r="K110" s="68" t="s">
        <v>19</v>
      </c>
    </row>
    <row r="111" spans="2:11" ht="15">
      <c r="B111" s="10"/>
      <c r="C111" s="45"/>
      <c r="D111" s="45"/>
      <c r="E111" s="45"/>
      <c r="F111" s="54"/>
      <c r="G111" s="54"/>
      <c r="H111" s="54"/>
      <c r="I111" s="54"/>
      <c r="J111" s="54"/>
      <c r="K111" s="54"/>
    </row>
    <row r="112" spans="2:11" ht="15">
      <c r="B112" s="42" t="s">
        <v>598</v>
      </c>
      <c r="C112" s="45"/>
      <c r="D112" s="45"/>
      <c r="E112" s="45"/>
      <c r="F112" s="54"/>
      <c r="G112" s="54"/>
      <c r="H112" s="54"/>
      <c r="I112" s="54"/>
      <c r="J112" s="54"/>
      <c r="K112" s="54"/>
    </row>
    <row r="113" spans="2:12" ht="20.100000000000001" customHeight="1">
      <c r="B113" s="14" t="s">
        <v>844</v>
      </c>
      <c r="C113" s="2">
        <f>SUM('Budget Detail FY 2013-20'!L169:L170)</f>
        <v>199396</v>
      </c>
      <c r="D113" s="2">
        <f>SUM('Budget Detail FY 2013-20'!M169:M170)</f>
        <v>229837</v>
      </c>
      <c r="E113" s="2">
        <f>SUM('Budget Detail FY 2013-20'!N169:N170)</f>
        <v>327457</v>
      </c>
      <c r="F113" s="2">
        <f>SUM('Budget Detail FY 2013-20'!O169:O170)</f>
        <v>327457</v>
      </c>
      <c r="G113" s="2">
        <f>SUM('Budget Detail FY 2013-20'!P169:P170)</f>
        <v>357873</v>
      </c>
      <c r="H113" s="2">
        <f>SUM('Budget Detail FY 2013-20'!Q169:Q170)</f>
        <v>368719</v>
      </c>
      <c r="I113" s="2">
        <f>SUM('Budget Detail FY 2013-20'!R169:R170)</f>
        <v>379944</v>
      </c>
      <c r="J113" s="2">
        <f>SUM('Budget Detail FY 2013-20'!S169:S170)</f>
        <v>391562</v>
      </c>
      <c r="K113" s="2">
        <f>SUM('Budget Detail FY 2013-20'!T169:T170)</f>
        <v>403587</v>
      </c>
    </row>
    <row r="114" spans="2:12" ht="20.100000000000001" customHeight="1">
      <c r="B114" s="14" t="s">
        <v>845</v>
      </c>
      <c r="C114" s="2">
        <f>SUM('Budget Detail FY 2013-20'!L171:L176)</f>
        <v>84415</v>
      </c>
      <c r="D114" s="2">
        <f>SUM('Budget Detail FY 2013-20'!M171:M176)</f>
        <v>104751</v>
      </c>
      <c r="E114" s="2">
        <f>SUM('Budget Detail FY 2013-20'!N171:N176)</f>
        <v>122541</v>
      </c>
      <c r="F114" s="2">
        <f>SUM('Budget Detail FY 2013-20'!O171:O176)</f>
        <v>122541</v>
      </c>
      <c r="G114" s="2">
        <f>SUM('Budget Detail FY 2013-20'!P171:P176)</f>
        <v>150555</v>
      </c>
      <c r="H114" s="2">
        <f>SUM('Budget Detail FY 2013-20'!Q171:Q176)</f>
        <v>163258</v>
      </c>
      <c r="I114" s="2">
        <f>SUM('Budget Detail FY 2013-20'!R171:R176)</f>
        <v>175493</v>
      </c>
      <c r="J114" s="2">
        <f>SUM('Budget Detail FY 2013-20'!S171:S176)</f>
        <v>188738</v>
      </c>
      <c r="K114" s="2">
        <f>SUM('Budget Detail FY 2013-20'!T171:T176)</f>
        <v>203071</v>
      </c>
    </row>
    <row r="115" spans="2:12" ht="20.100000000000001" customHeight="1">
      <c r="B115" s="14" t="s">
        <v>846</v>
      </c>
      <c r="C115" s="2">
        <f>SUM('Budget Detail FY 2013-20'!L177:L188)</f>
        <v>65944</v>
      </c>
      <c r="D115" s="2">
        <f>SUM('Budget Detail FY 2013-20'!M177:M188)</f>
        <v>64908</v>
      </c>
      <c r="E115" s="2">
        <f>SUM('Budget Detail FY 2013-20'!N177:N188)</f>
        <v>139622</v>
      </c>
      <c r="F115" s="2">
        <f>SUM('Budget Detail FY 2013-20'!O177:O188)</f>
        <v>138750</v>
      </c>
      <c r="G115" s="2">
        <f>SUM('Budget Detail FY 2013-20'!P177:P188)</f>
        <v>164900</v>
      </c>
      <c r="H115" s="2">
        <f>SUM('Budget Detail FY 2013-20'!Q177:Q188)</f>
        <v>148650</v>
      </c>
      <c r="I115" s="2">
        <f>SUM('Budget Detail FY 2013-20'!R177:R188)</f>
        <v>126588</v>
      </c>
      <c r="J115" s="2">
        <f>SUM('Budget Detail FY 2013-20'!S177:S188)</f>
        <v>130722</v>
      </c>
      <c r="K115" s="2">
        <f>SUM('Budget Detail FY 2013-20'!T177:T188)</f>
        <v>135063</v>
      </c>
    </row>
    <row r="116" spans="2:12" ht="20.100000000000001" customHeight="1">
      <c r="B116" s="14" t="s">
        <v>847</v>
      </c>
      <c r="C116" s="2">
        <f>SUM('Budget Detail FY 2013-20'!L189:L194)</f>
        <v>15434</v>
      </c>
      <c r="D116" s="2">
        <f>SUM('Budget Detail FY 2013-20'!M189:M194)</f>
        <v>8042</v>
      </c>
      <c r="E116" s="2">
        <f>SUM('Budget Detail FY 2013-20'!N189:N194)</f>
        <v>13934</v>
      </c>
      <c r="F116" s="2">
        <f>SUM('Budget Detail FY 2013-20'!O189:O194)</f>
        <v>13934</v>
      </c>
      <c r="G116" s="2">
        <f>SUM('Budget Detail FY 2013-20'!P189:P194)</f>
        <v>11900</v>
      </c>
      <c r="H116" s="2">
        <f>SUM('Budget Detail FY 2013-20'!Q189:Q194)</f>
        <v>12780</v>
      </c>
      <c r="I116" s="2">
        <f>SUM('Budget Detail FY 2013-20'!R189:R194)</f>
        <v>13080</v>
      </c>
      <c r="J116" s="2">
        <f>SUM('Budget Detail FY 2013-20'!S189:S194)</f>
        <v>13401</v>
      </c>
      <c r="K116" s="2">
        <f>SUM('Budget Detail FY 2013-20'!T189:T194)</f>
        <v>13744</v>
      </c>
    </row>
    <row r="117" spans="2:12" s="117" customFormat="1" ht="20.100000000000001" customHeight="1" thickBot="1">
      <c r="B117" s="118" t="s">
        <v>889</v>
      </c>
      <c r="C117" s="83">
        <f t="shared" ref="C117:I117" si="6">SUM(C113:C116)</f>
        <v>365189</v>
      </c>
      <c r="D117" s="83">
        <f>SUM(D113:D116)</f>
        <v>407538</v>
      </c>
      <c r="E117" s="83">
        <f t="shared" si="6"/>
        <v>603554</v>
      </c>
      <c r="F117" s="83">
        <f t="shared" si="6"/>
        <v>602682</v>
      </c>
      <c r="G117" s="83">
        <f t="shared" si="6"/>
        <v>685228</v>
      </c>
      <c r="H117" s="83">
        <f t="shared" si="6"/>
        <v>693407</v>
      </c>
      <c r="I117" s="83">
        <f t="shared" si="6"/>
        <v>695105</v>
      </c>
      <c r="J117" s="83">
        <f>SUM(J113:J116)</f>
        <v>724423</v>
      </c>
      <c r="K117" s="83">
        <f>SUM(K113:K116)</f>
        <v>755465</v>
      </c>
      <c r="L117" s="722"/>
    </row>
    <row r="118" spans="2:12" s="138" customFormat="1" ht="15.75" hidden="1" thickTop="1">
      <c r="B118" s="127"/>
      <c r="C118" s="137">
        <f>'Budget Detail FY 2013-20'!L195</f>
        <v>365189</v>
      </c>
      <c r="D118" s="137">
        <f>'Budget Detail FY 2013-20'!M195</f>
        <v>407538</v>
      </c>
      <c r="E118" s="137">
        <f>'Budget Detail FY 2013-20'!N195</f>
        <v>603554</v>
      </c>
      <c r="F118" s="137">
        <f>'Budget Detail FY 2013-20'!O195</f>
        <v>602682</v>
      </c>
      <c r="G118" s="137">
        <f>'Budget Detail FY 2013-20'!P195</f>
        <v>685228</v>
      </c>
      <c r="H118" s="137">
        <f>'Budget Detail FY 2013-20'!Q195</f>
        <v>693407</v>
      </c>
      <c r="I118" s="137">
        <f>'Budget Detail FY 2013-20'!R195</f>
        <v>695105</v>
      </c>
      <c r="J118" s="137">
        <f>'Budget Detail FY 2013-20'!S195</f>
        <v>724423</v>
      </c>
      <c r="K118" s="137">
        <f>'Budget Detail FY 2013-20'!T195</f>
        <v>755465</v>
      </c>
      <c r="L118" s="722"/>
    </row>
    <row r="119" spans="2:12" s="145" customFormat="1" ht="14.25" hidden="1">
      <c r="B119" s="130"/>
      <c r="C119" s="144">
        <f>C117-C118</f>
        <v>0</v>
      </c>
      <c r="D119" s="144">
        <f t="shared" ref="D119:K119" si="7">D117-D118</f>
        <v>0</v>
      </c>
      <c r="E119" s="144">
        <f t="shared" si="7"/>
        <v>0</v>
      </c>
      <c r="F119" s="144">
        <f t="shared" si="7"/>
        <v>0</v>
      </c>
      <c r="G119" s="144">
        <f t="shared" si="7"/>
        <v>0</v>
      </c>
      <c r="H119" s="144">
        <f t="shared" si="7"/>
        <v>0</v>
      </c>
      <c r="I119" s="144">
        <f t="shared" si="7"/>
        <v>0</v>
      </c>
      <c r="J119" s="144">
        <f t="shared" si="7"/>
        <v>0</v>
      </c>
      <c r="K119" s="144">
        <f t="shared" si="7"/>
        <v>0</v>
      </c>
      <c r="L119" s="722"/>
    </row>
    <row r="120" spans="2:12" s="117" customFormat="1" ht="15" thickTop="1">
      <c r="B120" s="16"/>
      <c r="C120" s="135"/>
      <c r="D120" s="135"/>
      <c r="E120" s="135"/>
      <c r="F120" s="135"/>
      <c r="G120" s="135"/>
      <c r="H120" s="135"/>
      <c r="I120" s="135"/>
      <c r="J120" s="135"/>
      <c r="K120" s="135"/>
      <c r="L120" s="722"/>
    </row>
    <row r="121" spans="2:12" ht="15">
      <c r="B121" s="10"/>
      <c r="C121" s="45"/>
      <c r="D121" s="45"/>
      <c r="E121" s="45"/>
      <c r="F121" s="54"/>
      <c r="G121" s="54"/>
      <c r="H121" s="54"/>
      <c r="I121" s="54"/>
      <c r="J121" s="54"/>
      <c r="K121" s="54"/>
    </row>
    <row r="122" spans="2:12" ht="15">
      <c r="B122" s="10"/>
      <c r="C122" s="45"/>
      <c r="D122" s="45"/>
      <c r="E122" s="45"/>
      <c r="F122" s="54"/>
      <c r="G122" s="54"/>
      <c r="H122" s="54"/>
      <c r="I122" s="54"/>
      <c r="J122" s="54"/>
      <c r="K122" s="54"/>
    </row>
    <row r="123" spans="2:12" ht="15">
      <c r="B123" s="10"/>
      <c r="C123" s="45"/>
      <c r="D123" s="45"/>
      <c r="E123" s="45"/>
      <c r="F123" s="54"/>
      <c r="G123" s="54"/>
      <c r="H123" s="54"/>
      <c r="I123" s="54"/>
      <c r="J123" s="54"/>
      <c r="K123" s="54"/>
    </row>
    <row r="124" spans="2:12" ht="15">
      <c r="B124" s="10"/>
      <c r="C124" s="45"/>
      <c r="D124" s="45"/>
      <c r="E124" s="45"/>
      <c r="F124" s="54"/>
      <c r="G124" s="54"/>
      <c r="H124" s="54"/>
      <c r="I124" s="54"/>
      <c r="J124" s="54"/>
      <c r="K124" s="54"/>
    </row>
    <row r="125" spans="2:12" ht="15">
      <c r="B125" s="10"/>
      <c r="C125" s="45"/>
      <c r="D125" s="45"/>
      <c r="E125" s="45"/>
      <c r="F125" s="54"/>
      <c r="G125" s="54"/>
      <c r="H125" s="54"/>
      <c r="I125" s="54"/>
      <c r="J125" s="54"/>
      <c r="K125" s="54"/>
    </row>
    <row r="126" spans="2:12" ht="15">
      <c r="B126" s="10"/>
      <c r="C126" s="45"/>
      <c r="D126" s="45"/>
      <c r="E126" s="45"/>
      <c r="F126" s="54"/>
      <c r="G126" s="54"/>
      <c r="H126" s="54"/>
      <c r="I126" s="54"/>
      <c r="J126" s="54"/>
      <c r="K126" s="54"/>
    </row>
    <row r="127" spans="2:12" ht="15">
      <c r="B127" s="10"/>
      <c r="C127" s="45"/>
      <c r="D127" s="45"/>
      <c r="E127" s="45"/>
      <c r="F127" s="54"/>
      <c r="G127" s="54"/>
      <c r="H127" s="54"/>
      <c r="I127" s="54"/>
      <c r="J127" s="54"/>
      <c r="K127" s="54"/>
    </row>
    <row r="128" spans="2:12" ht="15">
      <c r="B128" s="10"/>
      <c r="C128" s="45"/>
      <c r="D128" s="45"/>
      <c r="E128" s="45"/>
      <c r="F128" s="54"/>
      <c r="G128" s="54"/>
      <c r="H128" s="54"/>
      <c r="I128" s="54"/>
      <c r="J128" s="54"/>
      <c r="K128" s="54"/>
    </row>
    <row r="129" spans="2:11" ht="15">
      <c r="B129" s="10"/>
      <c r="C129" s="45"/>
      <c r="D129" s="45"/>
      <c r="E129" s="45"/>
      <c r="F129" s="54"/>
      <c r="G129" s="54"/>
      <c r="H129" s="54"/>
      <c r="I129" s="54"/>
      <c r="J129" s="54"/>
      <c r="K129" s="54"/>
    </row>
    <row r="130" spans="2:11" ht="15">
      <c r="B130" s="10"/>
      <c r="C130" s="45"/>
      <c r="D130" s="45"/>
      <c r="E130" s="45"/>
      <c r="F130" s="54"/>
      <c r="G130" s="54"/>
      <c r="H130" s="54"/>
      <c r="I130" s="54"/>
      <c r="J130" s="54"/>
      <c r="K130" s="54"/>
    </row>
    <row r="131" spans="2:11" ht="15">
      <c r="B131" s="10"/>
      <c r="C131" s="45"/>
      <c r="D131" s="45"/>
      <c r="E131" s="45"/>
      <c r="F131" s="54"/>
      <c r="G131" s="54"/>
      <c r="H131" s="54"/>
      <c r="I131" s="54"/>
      <c r="J131" s="54"/>
      <c r="K131" s="54"/>
    </row>
    <row r="132" spans="2:11" ht="15">
      <c r="B132" s="10"/>
      <c r="C132" s="45"/>
      <c r="D132" s="45"/>
      <c r="E132" s="45"/>
      <c r="F132" s="54"/>
      <c r="G132" s="54"/>
      <c r="H132" s="54"/>
      <c r="I132" s="54"/>
      <c r="J132" s="54"/>
      <c r="K132" s="54"/>
    </row>
    <row r="133" spans="2:11" ht="15">
      <c r="B133" s="33"/>
      <c r="C133" s="20"/>
      <c r="D133" s="20"/>
      <c r="E133" s="20"/>
      <c r="F133" s="20"/>
      <c r="G133" s="20"/>
      <c r="H133" s="20"/>
      <c r="I133" s="20"/>
      <c r="J133" s="20"/>
      <c r="K133" s="20"/>
    </row>
    <row r="134" spans="2:11" ht="18.75" customHeight="1">
      <c r="B134" s="730" t="s">
        <v>1302</v>
      </c>
      <c r="C134" s="730"/>
      <c r="D134" s="730"/>
      <c r="E134" s="730"/>
      <c r="F134" s="730"/>
      <c r="G134" s="730"/>
      <c r="H134" s="730"/>
      <c r="I134" s="730"/>
      <c r="J134" s="730"/>
      <c r="K134" s="730"/>
    </row>
    <row r="135" spans="2:11" ht="15">
      <c r="B135" s="47"/>
      <c r="C135" s="59"/>
      <c r="D135" s="60"/>
      <c r="E135" s="60"/>
      <c r="F135" s="54"/>
      <c r="G135" s="54"/>
      <c r="H135" s="54"/>
      <c r="I135" s="54"/>
      <c r="J135" s="54"/>
      <c r="K135" s="54"/>
    </row>
    <row r="136" spans="2:11" ht="12.75" customHeight="1">
      <c r="B136" s="736" t="s">
        <v>890</v>
      </c>
      <c r="C136" s="736"/>
      <c r="D136" s="736"/>
      <c r="E136" s="736"/>
      <c r="F136" s="736"/>
      <c r="G136" s="736"/>
      <c r="H136" s="736"/>
      <c r="I136" s="736"/>
      <c r="J136" s="736"/>
      <c r="K136" s="736"/>
    </row>
    <row r="137" spans="2:11" ht="17.25" customHeight="1">
      <c r="B137" s="736"/>
      <c r="C137" s="736"/>
      <c r="D137" s="736"/>
      <c r="E137" s="736"/>
      <c r="F137" s="736"/>
      <c r="G137" s="736"/>
      <c r="H137" s="736"/>
      <c r="I137" s="736"/>
      <c r="J137" s="736"/>
      <c r="K137" s="736"/>
    </row>
    <row r="138" spans="2:11" ht="15">
      <c r="B138" s="48"/>
      <c r="C138" s="61"/>
      <c r="D138" s="61"/>
      <c r="E138" s="61"/>
      <c r="F138" s="54"/>
      <c r="G138" s="54"/>
      <c r="H138" s="54"/>
      <c r="I138" s="54"/>
      <c r="J138" s="54"/>
      <c r="K138" s="54"/>
    </row>
    <row r="139" spans="2:11" ht="15">
      <c r="B139" s="10"/>
      <c r="C139" s="65"/>
      <c r="D139" s="66"/>
      <c r="E139" s="65" t="s">
        <v>270</v>
      </c>
      <c r="F139" s="1"/>
      <c r="G139" s="1"/>
      <c r="H139" s="1"/>
      <c r="I139" s="1"/>
      <c r="J139" s="1"/>
      <c r="K139" s="1"/>
    </row>
    <row r="140" spans="2:11" ht="15">
      <c r="B140" s="12"/>
      <c r="C140" s="65" t="s">
        <v>257</v>
      </c>
      <c r="D140" s="49" t="s">
        <v>258</v>
      </c>
      <c r="E140" s="66" t="s">
        <v>832</v>
      </c>
      <c r="F140" s="66" t="s">
        <v>270</v>
      </c>
      <c r="G140" s="66" t="s">
        <v>271</v>
      </c>
      <c r="H140" s="66" t="s">
        <v>272</v>
      </c>
      <c r="I140" s="66" t="s">
        <v>996</v>
      </c>
      <c r="J140" s="66" t="s">
        <v>1101</v>
      </c>
      <c r="K140" s="66" t="s">
        <v>1136</v>
      </c>
    </row>
    <row r="141" spans="2:11" ht="15.75" thickBot="1">
      <c r="B141" s="41"/>
      <c r="C141" s="68" t="s">
        <v>1</v>
      </c>
      <c r="D141" s="68" t="s">
        <v>1</v>
      </c>
      <c r="E141" s="68" t="s">
        <v>787</v>
      </c>
      <c r="F141" s="68" t="s">
        <v>19</v>
      </c>
      <c r="G141" s="68" t="s">
        <v>832</v>
      </c>
      <c r="H141" s="68" t="s">
        <v>19</v>
      </c>
      <c r="I141" s="68" t="s">
        <v>19</v>
      </c>
      <c r="J141" s="68" t="s">
        <v>19</v>
      </c>
      <c r="K141" s="68" t="s">
        <v>19</v>
      </c>
    </row>
    <row r="142" spans="2:11" ht="15">
      <c r="B142" s="10"/>
      <c r="C142" s="45"/>
      <c r="D142" s="45"/>
      <c r="E142" s="45"/>
      <c r="F142" s="54"/>
      <c r="G142" s="54"/>
      <c r="H142" s="54"/>
      <c r="I142" s="54"/>
      <c r="J142" s="54"/>
      <c r="K142" s="54"/>
    </row>
    <row r="143" spans="2:11" ht="15">
      <c r="B143" s="42" t="s">
        <v>598</v>
      </c>
      <c r="C143" s="45"/>
      <c r="D143" s="45"/>
      <c r="E143" s="45"/>
      <c r="F143" s="54"/>
      <c r="G143" s="54"/>
      <c r="H143" s="54"/>
      <c r="I143" s="54"/>
      <c r="J143" s="54"/>
      <c r="K143" s="54"/>
    </row>
    <row r="144" spans="2:11" ht="20.100000000000001" customHeight="1">
      <c r="B144" s="14" t="s">
        <v>844</v>
      </c>
      <c r="C144" s="2">
        <f>SUM('Budget Detail FY 2013-20'!L198:L200)</f>
        <v>267730</v>
      </c>
      <c r="D144" s="2">
        <f>SUM('Budget Detail FY 2013-20'!M198:M200)</f>
        <v>328126</v>
      </c>
      <c r="E144" s="2">
        <f>SUM('Budget Detail FY 2013-20'!N198:N200)</f>
        <v>339283</v>
      </c>
      <c r="F144" s="2">
        <f>SUM('Budget Detail FY 2013-20'!O198:O200)</f>
        <v>339283</v>
      </c>
      <c r="G144" s="2">
        <f>SUM('Budget Detail FY 2013-20'!P198:P200)</f>
        <v>358553</v>
      </c>
      <c r="H144" s="2">
        <f>SUM('Budget Detail FY 2013-20'!Q198:Q200)</f>
        <v>373794</v>
      </c>
      <c r="I144" s="2">
        <f>SUM('Budget Detail FY 2013-20'!R198:R200)</f>
        <v>385946</v>
      </c>
      <c r="J144" s="2">
        <f>SUM('Budget Detail FY 2013-20'!S198:S200)</f>
        <v>398523</v>
      </c>
      <c r="K144" s="2">
        <f>SUM('Budget Detail FY 2013-20'!T198:T200)</f>
        <v>411540</v>
      </c>
    </row>
    <row r="145" spans="2:12" ht="20.100000000000001" customHeight="1">
      <c r="B145" s="14" t="s">
        <v>845</v>
      </c>
      <c r="C145" s="2">
        <f>SUM('Budget Detail FY 2013-20'!L201:L206)</f>
        <v>139666</v>
      </c>
      <c r="D145" s="2">
        <f>SUM('Budget Detail FY 2013-20'!M201:M206)</f>
        <v>162447</v>
      </c>
      <c r="E145" s="2">
        <f>SUM('Budget Detail FY 2013-20'!N201:N206)</f>
        <v>177193</v>
      </c>
      <c r="F145" s="2">
        <f>SUM('Budget Detail FY 2013-20'!O201:O206)</f>
        <v>177193</v>
      </c>
      <c r="G145" s="2">
        <f>SUM('Budget Detail FY 2013-20'!P201:P206)</f>
        <v>183177</v>
      </c>
      <c r="H145" s="2">
        <f>SUM('Budget Detail FY 2013-20'!Q201:Q206)</f>
        <v>196784</v>
      </c>
      <c r="I145" s="2">
        <f>SUM('Budget Detail FY 2013-20'!R201:R206)</f>
        <v>304135</v>
      </c>
      <c r="J145" s="2">
        <f>SUM('Budget Detail FY 2013-20'!S201:S206)</f>
        <v>329884</v>
      </c>
      <c r="K145" s="2">
        <f>SUM('Budget Detail FY 2013-20'!T201:T206)</f>
        <v>358056</v>
      </c>
    </row>
    <row r="146" spans="2:12" ht="20.100000000000001" customHeight="1">
      <c r="B146" s="14" t="s">
        <v>846</v>
      </c>
      <c r="C146" s="2">
        <f>SUM('Budget Detail FY 2013-20'!L207:L219)+SUM('Budget Detail FY 2013-20'!L231:L233)</f>
        <v>1169135</v>
      </c>
      <c r="D146" s="2">
        <f>SUM('Budget Detail FY 2013-20'!M207:M219)+SUM('Budget Detail FY 2013-20'!M231:M233)</f>
        <v>1460448</v>
      </c>
      <c r="E146" s="2">
        <f>SUM('Budget Detail FY 2013-20'!N207:N219)+SUM('Budget Detail FY 2013-20'!N231:N233)</f>
        <v>1304171</v>
      </c>
      <c r="F146" s="2">
        <f>SUM('Budget Detail FY 2013-20'!O207:O219)+SUM('Budget Detail FY 2013-20'!O231:O233)</f>
        <v>1374970</v>
      </c>
      <c r="G146" s="2">
        <f>SUM('Budget Detail FY 2013-20'!P207:P219)+SUM('Budget Detail FY 2013-20'!P231:P233)</f>
        <v>1448866</v>
      </c>
      <c r="H146" s="2">
        <f>SUM('Budget Detail FY 2013-20'!Q207:Q219)+SUM('Budget Detail FY 2013-20'!Q231:Q233)</f>
        <v>1358539</v>
      </c>
      <c r="I146" s="2">
        <f>SUM('Budget Detail FY 2013-20'!R207:R219)+SUM('Budget Detail FY 2013-20'!R231:R233)</f>
        <v>1394467</v>
      </c>
      <c r="J146" s="2">
        <f>SUM('Budget Detail FY 2013-20'!S207:S219)+SUM('Budget Detail FY 2013-20'!S231:S233)</f>
        <v>1431482</v>
      </c>
      <c r="K146" s="2">
        <f>SUM('Budget Detail FY 2013-20'!T207:T219)+SUM('Budget Detail FY 2013-20'!T231:T233)</f>
        <v>1469616</v>
      </c>
    </row>
    <row r="147" spans="2:12" ht="20.100000000000001" customHeight="1">
      <c r="B147" s="14" t="s">
        <v>847</v>
      </c>
      <c r="C147" s="2">
        <f>SUM('Budget Detail FY 2013-20'!L220:L227)</f>
        <v>71058</v>
      </c>
      <c r="D147" s="2">
        <f>SUM('Budget Detail FY 2013-20'!M220:M227)</f>
        <v>94029</v>
      </c>
      <c r="E147" s="2">
        <f>SUM('Budget Detail FY 2013-20'!N220:N227)</f>
        <v>90678</v>
      </c>
      <c r="F147" s="2">
        <f>SUM('Budget Detail FY 2013-20'!O220:O227)</f>
        <v>88678</v>
      </c>
      <c r="G147" s="2">
        <f>SUM('Budget Detail FY 2013-20'!P220:P227)</f>
        <v>94311</v>
      </c>
      <c r="H147" s="2">
        <f>SUM('Budget Detail FY 2013-20'!Q220:Q227)</f>
        <v>96115</v>
      </c>
      <c r="I147" s="2">
        <f>SUM('Budget Detail FY 2013-20'!R220:R227)</f>
        <v>99100</v>
      </c>
      <c r="J147" s="2">
        <f>SUM('Budget Detail FY 2013-20'!S220:S227)</f>
        <v>102278</v>
      </c>
      <c r="K147" s="2">
        <f>SUM('Budget Detail FY 2013-20'!T220:T227)</f>
        <v>105662</v>
      </c>
    </row>
    <row r="148" spans="2:12" s="117" customFormat="1" ht="20.100000000000001" customHeight="1" thickBot="1">
      <c r="B148" s="118" t="s">
        <v>1000</v>
      </c>
      <c r="C148" s="83">
        <f t="shared" ref="C148:K148" si="8">SUM(C144:C147)</f>
        <v>1647589</v>
      </c>
      <c r="D148" s="83">
        <f t="shared" si="8"/>
        <v>2045050</v>
      </c>
      <c r="E148" s="83">
        <f>SUM(E144:E147)</f>
        <v>1911325</v>
      </c>
      <c r="F148" s="83">
        <f t="shared" si="8"/>
        <v>1980124</v>
      </c>
      <c r="G148" s="83">
        <f t="shared" si="8"/>
        <v>2084907</v>
      </c>
      <c r="H148" s="83">
        <f t="shared" si="8"/>
        <v>2025232</v>
      </c>
      <c r="I148" s="83">
        <f t="shared" si="8"/>
        <v>2183648</v>
      </c>
      <c r="J148" s="83">
        <f t="shared" si="8"/>
        <v>2262167</v>
      </c>
      <c r="K148" s="83">
        <f t="shared" si="8"/>
        <v>2344874</v>
      </c>
      <c r="L148" s="722"/>
    </row>
    <row r="149" spans="2:12" s="140" customFormat="1" ht="15" hidden="1" customHeight="1" thickTop="1">
      <c r="B149" s="139"/>
      <c r="C149" s="137">
        <f>'Budget Detail FY 2013-20'!L236</f>
        <v>1647589</v>
      </c>
      <c r="D149" s="137">
        <f>'Budget Detail FY 2013-20'!M236</f>
        <v>2045050</v>
      </c>
      <c r="E149" s="137">
        <f>'Budget Detail FY 2013-20'!N236</f>
        <v>1911325</v>
      </c>
      <c r="F149" s="137">
        <f>'Budget Detail FY 2013-20'!O236</f>
        <v>1980124</v>
      </c>
      <c r="G149" s="137">
        <f>'Budget Detail FY 2013-20'!P236</f>
        <v>2084907</v>
      </c>
      <c r="H149" s="137">
        <f>'Budget Detail FY 2013-20'!Q236</f>
        <v>2025232</v>
      </c>
      <c r="I149" s="137">
        <f>'Budget Detail FY 2013-20'!R236</f>
        <v>2183648</v>
      </c>
      <c r="J149" s="137">
        <f>'Budget Detail FY 2013-20'!S236</f>
        <v>2262167</v>
      </c>
      <c r="K149" s="137">
        <f>'Budget Detail FY 2013-20'!T236</f>
        <v>2344874</v>
      </c>
      <c r="L149" s="723"/>
    </row>
    <row r="150" spans="2:12" s="148" customFormat="1" ht="15" hidden="1" customHeight="1">
      <c r="B150" s="146"/>
      <c r="C150" s="147">
        <f>C148-C149</f>
        <v>0</v>
      </c>
      <c r="D150" s="147">
        <f t="shared" ref="D150:K150" si="9">D148-D149</f>
        <v>0</v>
      </c>
      <c r="E150" s="147">
        <f t="shared" si="9"/>
        <v>0</v>
      </c>
      <c r="F150" s="147">
        <f t="shared" si="9"/>
        <v>0</v>
      </c>
      <c r="G150" s="147">
        <f t="shared" si="9"/>
        <v>0</v>
      </c>
      <c r="H150" s="147">
        <f t="shared" si="9"/>
        <v>0</v>
      </c>
      <c r="I150" s="147">
        <f t="shared" si="9"/>
        <v>0</v>
      </c>
      <c r="J150" s="147">
        <f t="shared" si="9"/>
        <v>0</v>
      </c>
      <c r="K150" s="147">
        <f t="shared" si="9"/>
        <v>0</v>
      </c>
      <c r="L150" s="544"/>
    </row>
    <row r="151" spans="2:12" ht="12.75" customHeight="1" thickTop="1">
      <c r="B151" s="21"/>
      <c r="C151" s="56"/>
      <c r="D151" s="56"/>
      <c r="E151" s="56"/>
      <c r="F151" s="54"/>
      <c r="G151" s="54"/>
      <c r="H151" s="54"/>
      <c r="I151" s="54"/>
      <c r="J151" s="54"/>
      <c r="K151" s="54"/>
    </row>
    <row r="152" spans="2:12" ht="12.75" customHeight="1">
      <c r="B152" s="21"/>
      <c r="C152" s="56"/>
      <c r="D152" s="56"/>
      <c r="E152" s="56"/>
      <c r="F152" s="54"/>
      <c r="G152" s="54"/>
      <c r="H152" s="54"/>
      <c r="I152" s="54"/>
      <c r="J152" s="54"/>
      <c r="K152" s="54"/>
    </row>
    <row r="153" spans="2:12" ht="17.25" customHeight="1">
      <c r="B153" s="18"/>
      <c r="C153" s="45"/>
      <c r="D153" s="45"/>
      <c r="E153" s="45"/>
      <c r="F153" s="54"/>
      <c r="G153" s="54"/>
      <c r="H153" s="54"/>
      <c r="I153" s="54"/>
      <c r="J153" s="54"/>
      <c r="K153" s="54"/>
    </row>
    <row r="154" spans="2:12" ht="15">
      <c r="B154" s="18"/>
      <c r="C154" s="45"/>
      <c r="D154" s="45"/>
      <c r="E154" s="45"/>
      <c r="F154" s="54"/>
      <c r="G154" s="54"/>
      <c r="H154" s="54"/>
      <c r="I154" s="54"/>
      <c r="J154" s="54"/>
      <c r="K154" s="54"/>
    </row>
    <row r="155" spans="2:12" ht="15">
      <c r="B155" s="18"/>
      <c r="C155" s="45"/>
      <c r="D155" s="45"/>
      <c r="E155" s="45"/>
      <c r="F155" s="54"/>
      <c r="G155" s="54"/>
      <c r="H155" s="54"/>
      <c r="I155" s="54"/>
      <c r="J155" s="54"/>
      <c r="K155" s="54"/>
    </row>
    <row r="156" spans="2:12" ht="15">
      <c r="B156" s="18"/>
      <c r="C156" s="45"/>
      <c r="D156" s="45"/>
      <c r="E156" s="45"/>
      <c r="F156" s="54"/>
      <c r="G156" s="54"/>
      <c r="H156" s="54"/>
      <c r="I156" s="54"/>
      <c r="J156" s="54"/>
      <c r="K156" s="54"/>
    </row>
    <row r="157" spans="2:12" ht="15">
      <c r="B157" s="18"/>
      <c r="C157" s="45"/>
      <c r="D157" s="45"/>
      <c r="E157" s="45"/>
      <c r="F157" s="54"/>
      <c r="G157" s="54"/>
      <c r="H157" s="54"/>
      <c r="I157" s="54"/>
      <c r="J157" s="54"/>
      <c r="K157" s="54"/>
    </row>
    <row r="158" spans="2:12" ht="15">
      <c r="B158" s="18"/>
      <c r="C158" s="45"/>
      <c r="D158" s="45"/>
      <c r="E158" s="45"/>
      <c r="F158" s="54"/>
      <c r="G158" s="54"/>
      <c r="H158" s="54"/>
      <c r="I158" s="54"/>
      <c r="J158" s="54"/>
      <c r="K158" s="54"/>
    </row>
    <row r="159" spans="2:12" ht="15">
      <c r="B159" s="18"/>
      <c r="C159" s="45"/>
      <c r="D159" s="45"/>
      <c r="E159" s="45"/>
      <c r="F159" s="54"/>
      <c r="G159" s="54"/>
      <c r="H159" s="54"/>
      <c r="I159" s="54"/>
      <c r="J159" s="54"/>
      <c r="K159" s="54"/>
    </row>
    <row r="160" spans="2:12" ht="15">
      <c r="B160" s="18"/>
      <c r="C160" s="45"/>
      <c r="D160" s="45"/>
      <c r="E160" s="45"/>
      <c r="F160" s="54"/>
      <c r="G160" s="54"/>
      <c r="H160" s="54"/>
      <c r="I160" s="54"/>
      <c r="J160" s="54"/>
      <c r="K160" s="54"/>
    </row>
    <row r="161" spans="2:11" ht="15">
      <c r="B161" s="18"/>
      <c r="C161" s="45"/>
      <c r="D161" s="45"/>
      <c r="E161" s="45"/>
      <c r="F161" s="54"/>
      <c r="G161" s="54"/>
      <c r="H161" s="54"/>
      <c r="I161" s="54"/>
      <c r="J161" s="54"/>
      <c r="K161" s="54"/>
    </row>
    <row r="162" spans="2:11" ht="15">
      <c r="B162" s="18"/>
      <c r="C162" s="45"/>
      <c r="D162" s="45"/>
      <c r="E162" s="45"/>
      <c r="F162" s="54"/>
      <c r="G162" s="54"/>
      <c r="H162" s="54"/>
      <c r="I162" s="54"/>
      <c r="J162" s="54"/>
      <c r="K162" s="54"/>
    </row>
    <row r="163" spans="2:11" ht="15">
      <c r="B163" s="18"/>
      <c r="C163" s="45"/>
      <c r="D163" s="45"/>
      <c r="E163" s="45"/>
      <c r="F163" s="54"/>
      <c r="G163" s="54"/>
      <c r="H163" s="54"/>
      <c r="I163" s="54"/>
      <c r="J163" s="54"/>
      <c r="K163" s="54"/>
    </row>
    <row r="164" spans="2:11" ht="15">
      <c r="B164" s="18"/>
      <c r="C164" s="45"/>
      <c r="D164" s="45"/>
      <c r="E164" s="45"/>
      <c r="F164" s="54"/>
      <c r="G164" s="54"/>
      <c r="H164" s="54"/>
      <c r="I164" s="54"/>
      <c r="J164" s="54"/>
      <c r="K164" s="54"/>
    </row>
    <row r="165" spans="2:11" ht="15">
      <c r="B165" s="18"/>
      <c r="C165" s="45"/>
      <c r="D165" s="45"/>
      <c r="E165" s="45"/>
      <c r="F165" s="54"/>
      <c r="G165" s="54"/>
      <c r="H165" s="54"/>
      <c r="I165" s="54"/>
      <c r="J165" s="54"/>
      <c r="K165" s="54"/>
    </row>
    <row r="166" spans="2:11" ht="15">
      <c r="B166" s="18"/>
      <c r="C166" s="45"/>
      <c r="D166" s="45"/>
      <c r="E166" s="45"/>
      <c r="F166" s="54"/>
      <c r="G166" s="54"/>
      <c r="H166" s="54"/>
      <c r="I166" s="54"/>
      <c r="J166" s="54"/>
      <c r="K166" s="54"/>
    </row>
    <row r="167" spans="2:11" ht="15">
      <c r="B167" s="18"/>
      <c r="C167" s="45"/>
      <c r="D167" s="45"/>
      <c r="E167" s="45"/>
      <c r="F167" s="54"/>
      <c r="G167" s="54"/>
      <c r="H167" s="54"/>
      <c r="I167" s="54"/>
      <c r="J167" s="54"/>
      <c r="K167" s="54"/>
    </row>
    <row r="168" spans="2:11" ht="18.75" customHeight="1">
      <c r="B168" s="730" t="s">
        <v>891</v>
      </c>
      <c r="C168" s="730"/>
      <c r="D168" s="730"/>
      <c r="E168" s="730"/>
      <c r="F168" s="730"/>
      <c r="G168" s="730"/>
      <c r="H168" s="730"/>
      <c r="I168" s="730"/>
      <c r="J168" s="730"/>
      <c r="K168" s="730"/>
    </row>
    <row r="169" spans="2:11" ht="15">
      <c r="B169" s="49"/>
      <c r="C169" s="54"/>
      <c r="D169" s="54"/>
      <c r="E169" s="54"/>
      <c r="F169" s="54"/>
      <c r="G169" s="54"/>
      <c r="H169" s="54"/>
      <c r="I169" s="54"/>
      <c r="J169" s="54"/>
      <c r="K169" s="54"/>
    </row>
    <row r="170" spans="2:11" ht="12.75" customHeight="1">
      <c r="B170" s="731" t="s">
        <v>1288</v>
      </c>
      <c r="C170" s="731"/>
      <c r="D170" s="731"/>
      <c r="E170" s="731"/>
      <c r="F170" s="731"/>
      <c r="G170" s="731"/>
      <c r="H170" s="731"/>
      <c r="I170" s="731"/>
      <c r="J170" s="731"/>
      <c r="K170" s="731"/>
    </row>
    <row r="171" spans="2:11" ht="19.5" customHeight="1">
      <c r="B171" s="731"/>
      <c r="C171" s="731"/>
      <c r="D171" s="731"/>
      <c r="E171" s="731"/>
      <c r="F171" s="731"/>
      <c r="G171" s="731"/>
      <c r="H171" s="731"/>
      <c r="I171" s="731"/>
      <c r="J171" s="731"/>
      <c r="K171" s="731"/>
    </row>
    <row r="172" spans="2:11" ht="15">
      <c r="B172" s="50"/>
      <c r="C172" s="62"/>
      <c r="D172" s="62"/>
      <c r="E172" s="62"/>
      <c r="F172" s="54"/>
      <c r="G172" s="54"/>
      <c r="H172" s="54"/>
      <c r="I172" s="54"/>
      <c r="J172" s="54"/>
      <c r="K172" s="54"/>
    </row>
    <row r="173" spans="2:11" ht="15">
      <c r="B173" s="51"/>
      <c r="C173" s="65"/>
      <c r="D173" s="66"/>
      <c r="E173" s="65" t="s">
        <v>270</v>
      </c>
      <c r="F173" s="1"/>
      <c r="G173" s="1"/>
      <c r="H173" s="1"/>
      <c r="I173" s="1"/>
      <c r="J173" s="1"/>
      <c r="K173" s="1"/>
    </row>
    <row r="174" spans="2:11" ht="15">
      <c r="B174" s="12"/>
      <c r="C174" s="65" t="s">
        <v>257</v>
      </c>
      <c r="D174" s="49" t="s">
        <v>258</v>
      </c>
      <c r="E174" s="66" t="s">
        <v>832</v>
      </c>
      <c r="F174" s="66" t="s">
        <v>270</v>
      </c>
      <c r="G174" s="66" t="s">
        <v>271</v>
      </c>
      <c r="H174" s="66" t="s">
        <v>272</v>
      </c>
      <c r="I174" s="66" t="s">
        <v>996</v>
      </c>
      <c r="J174" s="66" t="s">
        <v>1101</v>
      </c>
      <c r="K174" s="66" t="s">
        <v>1136</v>
      </c>
    </row>
    <row r="175" spans="2:11" ht="15.75" thickBot="1">
      <c r="B175" s="41"/>
      <c r="C175" s="68" t="s">
        <v>1</v>
      </c>
      <c r="D175" s="68" t="s">
        <v>1</v>
      </c>
      <c r="E175" s="68" t="s">
        <v>787</v>
      </c>
      <c r="F175" s="68" t="s">
        <v>19</v>
      </c>
      <c r="G175" s="68" t="s">
        <v>832</v>
      </c>
      <c r="H175" s="68" t="s">
        <v>19</v>
      </c>
      <c r="I175" s="68" t="s">
        <v>19</v>
      </c>
      <c r="J175" s="68" t="s">
        <v>19</v>
      </c>
      <c r="K175" s="68" t="s">
        <v>19</v>
      </c>
    </row>
    <row r="176" spans="2:11" ht="15">
      <c r="B176" s="10"/>
      <c r="C176" s="45"/>
      <c r="D176" s="45"/>
      <c r="E176" s="45"/>
      <c r="F176" s="54"/>
      <c r="G176" s="54"/>
      <c r="H176" s="54"/>
      <c r="I176" s="54"/>
      <c r="J176" s="54"/>
      <c r="K176" s="54"/>
    </row>
    <row r="177" spans="2:12" ht="15">
      <c r="B177" s="42" t="s">
        <v>598</v>
      </c>
      <c r="C177" s="45"/>
      <c r="D177" s="45"/>
      <c r="E177" s="45"/>
      <c r="F177" s="54"/>
      <c r="G177" s="54"/>
      <c r="H177" s="54"/>
      <c r="I177" s="54"/>
      <c r="J177" s="54"/>
      <c r="K177" s="54"/>
    </row>
    <row r="178" spans="2:12" ht="20.100000000000001" customHeight="1">
      <c r="B178" s="15" t="s">
        <v>844</v>
      </c>
      <c r="C178" s="2">
        <f>'Budget Detail FY 2013-20'!L239</f>
        <v>100</v>
      </c>
      <c r="D178" s="2">
        <f>'Budget Detail FY 2013-20'!M239</f>
        <v>600</v>
      </c>
      <c r="E178" s="2">
        <f>'Budget Detail FY 2013-20'!N239</f>
        <v>500</v>
      </c>
      <c r="F178" s="2">
        <f>'Budget Detail FY 2013-20'!O239</f>
        <v>500</v>
      </c>
      <c r="G178" s="2">
        <f>'Budget Detail FY 2013-20'!P239</f>
        <v>500</v>
      </c>
      <c r="H178" s="2">
        <f>'Budget Detail FY 2013-20'!Q239</f>
        <v>500</v>
      </c>
      <c r="I178" s="2">
        <f>'Budget Detail FY 2013-20'!R239</f>
        <v>500</v>
      </c>
      <c r="J178" s="2">
        <f>'Budget Detail FY 2013-20'!S239</f>
        <v>500</v>
      </c>
      <c r="K178" s="2">
        <f>'Budget Detail FY 2013-20'!T239</f>
        <v>500</v>
      </c>
    </row>
    <row r="179" spans="2:12" ht="20.100000000000001" customHeight="1">
      <c r="B179" s="15" t="s">
        <v>845</v>
      </c>
      <c r="C179" s="2">
        <f>SUM('Budget Detail FY 2013-20'!L240:L244)</f>
        <v>315471</v>
      </c>
      <c r="D179" s="2">
        <f>SUM('Budget Detail FY 2013-20'!M240:M244)</f>
        <v>287892</v>
      </c>
      <c r="E179" s="2">
        <f>SUM('Budget Detail FY 2013-20'!N240:N244)</f>
        <v>343647</v>
      </c>
      <c r="F179" s="2">
        <f>SUM('Budget Detail FY 2013-20'!O240:O244)</f>
        <v>304947</v>
      </c>
      <c r="G179" s="2">
        <f>SUM('Budget Detail FY 2013-20'!P240:P244)</f>
        <v>323662</v>
      </c>
      <c r="H179" s="2">
        <f>SUM('Budget Detail FY 2013-20'!Q240:Q244)</f>
        <v>330394</v>
      </c>
      <c r="I179" s="2">
        <f>SUM('Budget Detail FY 2013-20'!R240:R244)</f>
        <v>349591</v>
      </c>
      <c r="J179" s="2">
        <f>SUM('Budget Detail FY 2013-20'!S240:S244)</f>
        <v>369986</v>
      </c>
      <c r="K179" s="2">
        <f>SUM('Budget Detail FY 2013-20'!T240:T244)</f>
        <v>391654</v>
      </c>
    </row>
    <row r="180" spans="2:12" ht="20.100000000000001" customHeight="1">
      <c r="B180" s="15" t="s">
        <v>846</v>
      </c>
      <c r="C180" s="2">
        <f>SUM('Budget Detail FY 2013-20'!L245:L262)</f>
        <v>1947060</v>
      </c>
      <c r="D180" s="2">
        <f>SUM('Budget Detail FY 2013-20'!M245:M262)</f>
        <v>2395270</v>
      </c>
      <c r="E180" s="2">
        <f>SUM('Budget Detail FY 2013-20'!N245:N262)</f>
        <v>2291529</v>
      </c>
      <c r="F180" s="2">
        <f>SUM('Budget Detail FY 2013-20'!O245:O262)</f>
        <v>2369876</v>
      </c>
      <c r="G180" s="2">
        <f>SUM('Budget Detail FY 2013-20'!P245:P262)</f>
        <v>2534703</v>
      </c>
      <c r="H180" s="2">
        <f>SUM('Budget Detail FY 2013-20'!Q245:Q262)</f>
        <v>2580585</v>
      </c>
      <c r="I180" s="2">
        <f>SUM('Budget Detail FY 2013-20'!R245:R262)</f>
        <v>2603515</v>
      </c>
      <c r="J180" s="2">
        <f>SUM('Budget Detail FY 2013-20'!S245:S262)</f>
        <v>2653631</v>
      </c>
      <c r="K180" s="2">
        <f>SUM('Budget Detail FY 2013-20'!T245:T262)</f>
        <v>2697697</v>
      </c>
    </row>
    <row r="181" spans="2:12" ht="20.100000000000001" customHeight="1">
      <c r="B181" s="15" t="s">
        <v>847</v>
      </c>
      <c r="C181" s="2">
        <f>'Budget Detail FY 2013-20'!L263</f>
        <v>25649</v>
      </c>
      <c r="D181" s="2">
        <f>'Budget Detail FY 2013-20'!M263</f>
        <v>1711</v>
      </c>
      <c r="E181" s="2">
        <f>'Budget Detail FY 2013-20'!N263</f>
        <v>5000</v>
      </c>
      <c r="F181" s="2">
        <f>'Budget Detail FY 2013-20'!O263</f>
        <v>5000</v>
      </c>
      <c r="G181" s="2">
        <f>'Budget Detail FY 2013-20'!P263</f>
        <v>5000</v>
      </c>
      <c r="H181" s="2">
        <f>'Budget Detail FY 2013-20'!Q263</f>
        <v>5000</v>
      </c>
      <c r="I181" s="2">
        <f>'Budget Detail FY 2013-20'!R263</f>
        <v>5000</v>
      </c>
      <c r="J181" s="2">
        <f>'Budget Detail FY 2013-20'!S263</f>
        <v>5000</v>
      </c>
      <c r="K181" s="2">
        <f>'Budget Detail FY 2013-20'!T263</f>
        <v>5000</v>
      </c>
    </row>
    <row r="182" spans="2:12" ht="20.100000000000001" customHeight="1">
      <c r="B182" s="15" t="s">
        <v>849</v>
      </c>
      <c r="C182" s="2">
        <f>'Budget Detail FY 2013-20'!L264</f>
        <v>0</v>
      </c>
      <c r="D182" s="2">
        <f>'Budget Detail FY 2013-20'!M264</f>
        <v>11676</v>
      </c>
      <c r="E182" s="2">
        <f>'Budget Detail FY 2013-20'!N264</f>
        <v>0</v>
      </c>
      <c r="F182" s="2">
        <f>'Budget Detail FY 2013-20'!O264</f>
        <v>0</v>
      </c>
      <c r="G182" s="2">
        <f>'Budget Detail FY 2013-20'!P264</f>
        <v>0</v>
      </c>
      <c r="H182" s="2">
        <f>'Budget Detail FY 2013-20'!Q264</f>
        <v>0</v>
      </c>
      <c r="I182" s="2">
        <f>'Budget Detail FY 2013-20'!R264</f>
        <v>0</v>
      </c>
      <c r="J182" s="2">
        <f>'Budget Detail FY 2013-20'!S264</f>
        <v>0</v>
      </c>
      <c r="K182" s="2">
        <f>'Budget Detail FY 2013-20'!T264</f>
        <v>0</v>
      </c>
    </row>
    <row r="183" spans="2:12" ht="20.100000000000001" customHeight="1">
      <c r="B183" s="15" t="s">
        <v>850</v>
      </c>
      <c r="C183" s="2">
        <f>SUM('Budget Detail FY 2013-20'!L265:L272)</f>
        <v>1501502</v>
      </c>
      <c r="D183" s="2">
        <f>SUM('Budget Detail FY 2013-20'!M265:M272)</f>
        <v>3790688</v>
      </c>
      <c r="E183" s="2">
        <f>SUM('Budget Detail FY 2013-20'!N265:N272)</f>
        <v>2548953</v>
      </c>
      <c r="F183" s="2">
        <f>SUM('Budget Detail FY 2013-20'!O265:O272)</f>
        <v>2549277</v>
      </c>
      <c r="G183" s="2">
        <f>SUM('Budget Detail FY 2013-20'!P265:P272)</f>
        <v>2439756</v>
      </c>
      <c r="H183" s="2">
        <f>SUM('Budget Detail FY 2013-20'!Q265:Q272)</f>
        <v>2871215</v>
      </c>
      <c r="I183" s="2">
        <f>SUM('Budget Detail FY 2013-20'!R265:R272)</f>
        <v>2950116</v>
      </c>
      <c r="J183" s="2">
        <f>SUM('Budget Detail FY 2013-20'!S265:S272)</f>
        <v>3018795</v>
      </c>
      <c r="K183" s="2">
        <f>SUM('Budget Detail FY 2013-20'!T265:T272)</f>
        <v>3090103</v>
      </c>
    </row>
    <row r="184" spans="2:12" s="117" customFormat="1" ht="20.100000000000001" customHeight="1" thickBot="1">
      <c r="B184" s="119" t="s">
        <v>1001</v>
      </c>
      <c r="C184" s="83">
        <f t="shared" ref="C184:J184" si="10">SUM(C178:C183)</f>
        <v>3789782</v>
      </c>
      <c r="D184" s="83">
        <f t="shared" si="10"/>
        <v>6487837</v>
      </c>
      <c r="E184" s="83">
        <f t="shared" si="10"/>
        <v>5189629</v>
      </c>
      <c r="F184" s="83">
        <f>SUM(F178:F183)</f>
        <v>5229600</v>
      </c>
      <c r="G184" s="83">
        <f t="shared" si="10"/>
        <v>5303621</v>
      </c>
      <c r="H184" s="83">
        <f t="shared" si="10"/>
        <v>5787694</v>
      </c>
      <c r="I184" s="83">
        <f t="shared" si="10"/>
        <v>5908722</v>
      </c>
      <c r="J184" s="83">
        <f t="shared" si="10"/>
        <v>6047912</v>
      </c>
      <c r="K184" s="83">
        <f>SUM(K178:K183)</f>
        <v>6184954</v>
      </c>
      <c r="L184" s="722"/>
    </row>
    <row r="185" spans="2:12" s="142" customFormat="1" ht="15.75" hidden="1" thickTop="1">
      <c r="B185" s="126"/>
      <c r="C185" s="141">
        <f>'Budget Detail FY 2013-20'!L273</f>
        <v>3789782</v>
      </c>
      <c r="D185" s="141">
        <f>'Budget Detail FY 2013-20'!M273</f>
        <v>6487837</v>
      </c>
      <c r="E185" s="141">
        <f>'Budget Detail FY 2013-20'!N273</f>
        <v>5189629</v>
      </c>
      <c r="F185" s="141">
        <f>'Budget Detail FY 2013-20'!O273</f>
        <v>5229600</v>
      </c>
      <c r="G185" s="141">
        <f>'Budget Detail FY 2013-20'!P273</f>
        <v>5303621</v>
      </c>
      <c r="H185" s="141">
        <f>'Budget Detail FY 2013-20'!Q273</f>
        <v>5787694</v>
      </c>
      <c r="I185" s="141">
        <f>'Budget Detail FY 2013-20'!R273</f>
        <v>5908722</v>
      </c>
      <c r="J185" s="141">
        <f>'Budget Detail FY 2013-20'!S273</f>
        <v>6047912</v>
      </c>
      <c r="K185" s="141">
        <f>'Budget Detail FY 2013-20'!T273</f>
        <v>6184954</v>
      </c>
      <c r="L185" s="544"/>
    </row>
    <row r="186" spans="2:12" s="148" customFormat="1" ht="15" hidden="1">
      <c r="B186" s="129"/>
      <c r="C186" s="149">
        <f>C184-C185</f>
        <v>0</v>
      </c>
      <c r="D186" s="149">
        <f t="shared" ref="D186:K186" si="11">D184-D185</f>
        <v>0</v>
      </c>
      <c r="E186" s="149">
        <f t="shared" si="11"/>
        <v>0</v>
      </c>
      <c r="F186" s="149">
        <f t="shared" si="11"/>
        <v>0</v>
      </c>
      <c r="G186" s="149">
        <f t="shared" si="11"/>
        <v>0</v>
      </c>
      <c r="H186" s="149">
        <f t="shared" si="11"/>
        <v>0</v>
      </c>
      <c r="I186" s="149">
        <f t="shared" si="11"/>
        <v>0</v>
      </c>
      <c r="J186" s="149">
        <f t="shared" si="11"/>
        <v>0</v>
      </c>
      <c r="K186" s="149">
        <f t="shared" si="11"/>
        <v>0</v>
      </c>
      <c r="L186" s="544"/>
    </row>
    <row r="187" spans="2:12" ht="15.75" thickTop="1">
      <c r="B187" s="10"/>
      <c r="C187" s="45"/>
      <c r="D187" s="45"/>
      <c r="E187" s="45"/>
      <c r="F187" s="54"/>
      <c r="G187" s="54"/>
      <c r="H187" s="54"/>
      <c r="I187" s="54"/>
      <c r="J187" s="54"/>
      <c r="K187" s="54"/>
    </row>
    <row r="188" spans="2:12" ht="15">
      <c r="B188" s="10"/>
      <c r="C188" s="45"/>
      <c r="D188" s="45"/>
      <c r="E188" s="45"/>
      <c r="F188" s="54"/>
      <c r="G188" s="54"/>
      <c r="H188" s="54"/>
      <c r="I188" s="54"/>
      <c r="J188" s="54"/>
      <c r="K188" s="54"/>
    </row>
    <row r="189" spans="2:12" ht="15">
      <c r="B189" s="10"/>
      <c r="C189" s="45"/>
      <c r="D189" s="45"/>
      <c r="E189" s="45"/>
      <c r="F189" s="54"/>
      <c r="G189" s="54"/>
      <c r="H189" s="54"/>
      <c r="I189" s="54"/>
      <c r="J189" s="54"/>
      <c r="K189" s="54"/>
    </row>
    <row r="190" spans="2:12" ht="15">
      <c r="B190" s="10"/>
      <c r="C190" s="45"/>
      <c r="D190" s="45"/>
      <c r="E190" s="45"/>
      <c r="F190" s="54"/>
      <c r="G190" s="54"/>
      <c r="H190" s="54"/>
      <c r="I190" s="54"/>
      <c r="J190" s="54"/>
      <c r="K190" s="54"/>
    </row>
    <row r="191" spans="2:12" ht="15">
      <c r="B191" s="10"/>
      <c r="C191" s="45"/>
      <c r="D191" s="45"/>
      <c r="E191" s="45"/>
      <c r="F191" s="54"/>
      <c r="G191" s="54"/>
      <c r="H191" s="54"/>
      <c r="I191" s="54"/>
      <c r="J191" s="54"/>
      <c r="K191" s="54"/>
    </row>
    <row r="192" spans="2:12" ht="15">
      <c r="B192" s="10"/>
      <c r="C192" s="45"/>
      <c r="D192" s="45"/>
      <c r="E192" s="45"/>
      <c r="F192" s="54"/>
      <c r="G192" s="54"/>
      <c r="H192" s="54"/>
      <c r="I192" s="54"/>
      <c r="J192" s="54"/>
      <c r="K192" s="54"/>
    </row>
    <row r="193" spans="2:11" ht="15">
      <c r="B193" s="10"/>
      <c r="C193" s="45"/>
      <c r="D193" s="45"/>
      <c r="E193" s="45"/>
      <c r="F193" s="54"/>
      <c r="G193" s="54"/>
      <c r="H193" s="54"/>
      <c r="I193" s="54"/>
      <c r="J193" s="54"/>
      <c r="K193" s="54"/>
    </row>
    <row r="194" spans="2:11" ht="12.75" customHeight="1">
      <c r="B194" s="10"/>
      <c r="C194" s="45"/>
      <c r="D194" s="45"/>
      <c r="E194" s="45"/>
      <c r="F194" s="54"/>
      <c r="G194" s="54"/>
      <c r="H194" s="54"/>
      <c r="I194" s="54"/>
      <c r="J194" s="54"/>
      <c r="K194" s="54"/>
    </row>
    <row r="195" spans="2:11" ht="18" customHeight="1">
      <c r="B195" s="10"/>
      <c r="C195" s="45"/>
      <c r="D195" s="45"/>
      <c r="E195" s="45"/>
      <c r="F195" s="54"/>
      <c r="G195" s="54"/>
      <c r="H195" s="54"/>
      <c r="I195" s="54"/>
      <c r="J195" s="54"/>
      <c r="K195" s="54"/>
    </row>
    <row r="196" spans="2:11" ht="15">
      <c r="B196" s="10"/>
      <c r="C196" s="45"/>
      <c r="D196" s="45"/>
      <c r="E196" s="45"/>
      <c r="F196" s="54"/>
      <c r="G196" s="54"/>
      <c r="H196" s="54"/>
      <c r="I196" s="54"/>
      <c r="J196" s="54"/>
      <c r="K196" s="54"/>
    </row>
    <row r="197" spans="2:11" ht="15">
      <c r="B197" s="10"/>
      <c r="C197" s="45"/>
      <c r="D197" s="45"/>
      <c r="E197" s="45"/>
      <c r="F197" s="54"/>
      <c r="G197" s="54"/>
      <c r="H197" s="54"/>
      <c r="I197" s="54"/>
      <c r="J197" s="54"/>
      <c r="K197" s="54"/>
    </row>
    <row r="198" spans="2:11" ht="15">
      <c r="B198" s="10"/>
      <c r="C198" s="45"/>
      <c r="D198" s="45"/>
      <c r="E198" s="45"/>
      <c r="F198" s="54"/>
      <c r="G198" s="54"/>
      <c r="H198" s="54"/>
      <c r="I198" s="54"/>
      <c r="J198" s="54"/>
      <c r="K198" s="54"/>
    </row>
    <row r="199" spans="2:11" ht="15">
      <c r="B199" s="10"/>
      <c r="C199" s="45"/>
      <c r="D199" s="45"/>
      <c r="E199" s="45"/>
      <c r="F199" s="54"/>
      <c r="G199" s="54"/>
      <c r="H199" s="54"/>
      <c r="I199" s="54"/>
      <c r="J199" s="54"/>
      <c r="K199" s="54"/>
    </row>
    <row r="200" spans="2:11" ht="15">
      <c r="B200" s="10"/>
      <c r="C200" s="45"/>
      <c r="D200" s="45"/>
      <c r="E200" s="45"/>
      <c r="F200" s="54"/>
      <c r="G200" s="54"/>
      <c r="H200" s="54"/>
      <c r="I200" s="54"/>
      <c r="J200" s="54"/>
      <c r="K200" s="54"/>
    </row>
    <row r="201" spans="2:11" ht="15">
      <c r="B201" s="10"/>
      <c r="C201" s="45"/>
      <c r="D201" s="45"/>
      <c r="E201" s="45"/>
      <c r="F201" s="54"/>
      <c r="G201" s="54"/>
      <c r="H201" s="54"/>
      <c r="I201" s="54"/>
      <c r="J201" s="54"/>
      <c r="K201" s="54"/>
    </row>
    <row r="202" spans="2:11" ht="15">
      <c r="B202" s="10"/>
      <c r="C202" s="45"/>
      <c r="D202" s="45"/>
      <c r="E202" s="45"/>
      <c r="F202" s="54"/>
      <c r="G202" s="54"/>
      <c r="H202" s="54"/>
      <c r="I202" s="54"/>
      <c r="J202" s="54"/>
      <c r="K202" s="54"/>
    </row>
    <row r="203" spans="2:11" ht="15">
      <c r="B203" s="10"/>
      <c r="C203" s="45"/>
      <c r="D203" s="45"/>
      <c r="E203" s="45"/>
      <c r="F203" s="54"/>
      <c r="G203" s="54"/>
      <c r="H203" s="54"/>
      <c r="I203" s="54"/>
      <c r="J203" s="54"/>
      <c r="K203" s="54"/>
    </row>
    <row r="204" spans="2:11" ht="15">
      <c r="B204" s="16"/>
      <c r="C204" s="20"/>
      <c r="D204" s="20"/>
      <c r="E204" s="20"/>
      <c r="F204" s="20"/>
      <c r="G204" s="20"/>
      <c r="H204" s="20"/>
      <c r="I204" s="20"/>
      <c r="J204" s="20"/>
      <c r="K204" s="20"/>
    </row>
    <row r="205" spans="2:11" ht="15">
      <c r="B205" s="16"/>
      <c r="C205" s="20"/>
      <c r="D205" s="20"/>
      <c r="E205" s="20"/>
      <c r="F205" s="20"/>
      <c r="G205" s="20"/>
      <c r="H205" s="20"/>
      <c r="I205" s="20"/>
      <c r="J205" s="20"/>
      <c r="K205" s="20"/>
    </row>
    <row r="206" spans="2:11" ht="15">
      <c r="B206" s="17"/>
      <c r="C206" s="20"/>
      <c r="D206" s="20"/>
      <c r="E206" s="20"/>
      <c r="F206" s="20"/>
      <c r="G206" s="20"/>
      <c r="H206" s="20"/>
      <c r="I206" s="20"/>
      <c r="J206" s="20"/>
      <c r="K206" s="20"/>
    </row>
    <row r="207" spans="2:11" ht="15">
      <c r="B207" s="17"/>
      <c r="C207" s="20"/>
      <c r="D207" s="20"/>
      <c r="E207" s="20"/>
      <c r="F207" s="20"/>
      <c r="G207" s="20"/>
      <c r="H207" s="20"/>
      <c r="I207" s="20"/>
      <c r="J207" s="20"/>
      <c r="K207" s="20"/>
    </row>
    <row r="208" spans="2:11" ht="15">
      <c r="B208" s="33"/>
      <c r="C208" s="20"/>
      <c r="D208" s="20"/>
      <c r="E208" s="20"/>
      <c r="F208" s="20"/>
      <c r="G208" s="20"/>
      <c r="H208" s="20"/>
      <c r="I208" s="20"/>
      <c r="J208" s="20"/>
      <c r="K208" s="20"/>
    </row>
    <row r="209" spans="2:11" ht="15">
      <c r="B209" s="18"/>
      <c r="C209" s="20"/>
      <c r="D209" s="20"/>
      <c r="E209" s="20"/>
      <c r="F209" s="20"/>
      <c r="G209" s="20"/>
      <c r="H209" s="20"/>
      <c r="I209" s="20"/>
      <c r="J209" s="20"/>
      <c r="K209" s="20"/>
    </row>
    <row r="210" spans="2:11" ht="15">
      <c r="B210" s="18"/>
      <c r="C210" s="20"/>
      <c r="D210" s="20"/>
      <c r="E210" s="20"/>
      <c r="F210" s="20"/>
      <c r="G210" s="20"/>
      <c r="H210" s="20"/>
      <c r="I210" s="20"/>
      <c r="J210" s="20"/>
      <c r="K210" s="20"/>
    </row>
    <row r="211" spans="2:11" ht="15">
      <c r="B211" s="13"/>
      <c r="C211" s="20"/>
      <c r="D211" s="20"/>
      <c r="E211" s="20"/>
      <c r="F211" s="20"/>
      <c r="G211" s="20"/>
      <c r="H211" s="20"/>
      <c r="I211" s="20"/>
      <c r="J211" s="20"/>
      <c r="K211" s="20"/>
    </row>
    <row r="212" spans="2:11" ht="15">
      <c r="B212" s="13"/>
      <c r="C212" s="20"/>
      <c r="D212" s="20"/>
      <c r="E212" s="20"/>
      <c r="F212" s="20"/>
      <c r="G212" s="20"/>
      <c r="H212" s="20"/>
      <c r="I212" s="20"/>
      <c r="J212" s="20"/>
      <c r="K212" s="20"/>
    </row>
    <row r="213" spans="2:11" ht="15">
      <c r="B213" s="13"/>
      <c r="C213" s="20"/>
      <c r="D213" s="20"/>
      <c r="E213" s="20"/>
      <c r="F213" s="20"/>
      <c r="G213" s="20"/>
      <c r="H213" s="20"/>
      <c r="I213" s="20"/>
      <c r="J213" s="20"/>
      <c r="K213" s="20"/>
    </row>
    <row r="214" spans="2:11" ht="15">
      <c r="B214" s="13"/>
      <c r="C214" s="20"/>
      <c r="D214" s="20"/>
      <c r="E214" s="20"/>
      <c r="F214" s="20"/>
      <c r="G214" s="20"/>
      <c r="H214" s="20"/>
      <c r="I214" s="20"/>
      <c r="J214" s="20"/>
      <c r="K214" s="20"/>
    </row>
    <row r="215" spans="2:11" ht="15">
      <c r="B215" s="13"/>
      <c r="C215" s="20"/>
      <c r="D215" s="20"/>
      <c r="E215" s="20"/>
      <c r="F215" s="20"/>
      <c r="G215" s="20"/>
      <c r="H215" s="20"/>
      <c r="I215" s="20"/>
      <c r="J215" s="20"/>
      <c r="K215" s="20"/>
    </row>
    <row r="216" spans="2:11" ht="15">
      <c r="B216" s="13"/>
      <c r="C216" s="20"/>
      <c r="D216" s="20"/>
      <c r="E216" s="20"/>
      <c r="F216" s="20"/>
      <c r="G216" s="20"/>
      <c r="H216" s="20"/>
      <c r="I216" s="20"/>
      <c r="J216" s="20"/>
      <c r="K216" s="20"/>
    </row>
    <row r="217" spans="2:11" ht="15">
      <c r="B217" s="13"/>
      <c r="C217" s="20"/>
      <c r="D217" s="20"/>
      <c r="E217" s="20"/>
      <c r="F217" s="20"/>
      <c r="G217" s="20"/>
      <c r="H217" s="20"/>
      <c r="I217" s="20"/>
      <c r="J217" s="20"/>
      <c r="K217" s="20"/>
    </row>
    <row r="218" spans="2:11" ht="15">
      <c r="B218" s="13"/>
      <c r="C218" s="20"/>
      <c r="D218" s="20"/>
      <c r="E218" s="20"/>
      <c r="F218" s="20"/>
      <c r="G218" s="20"/>
      <c r="H218" s="20"/>
      <c r="I218" s="20"/>
      <c r="J218" s="20"/>
      <c r="K218" s="20"/>
    </row>
    <row r="219" spans="2:11" ht="15">
      <c r="B219" s="13"/>
      <c r="C219" s="20"/>
      <c r="D219" s="20"/>
      <c r="E219" s="20"/>
      <c r="F219" s="20"/>
      <c r="G219" s="20"/>
      <c r="H219" s="20"/>
      <c r="I219" s="20"/>
      <c r="J219" s="20"/>
      <c r="K219" s="20"/>
    </row>
    <row r="220" spans="2:11" ht="15">
      <c r="B220" s="13"/>
      <c r="C220" s="20"/>
      <c r="D220" s="20"/>
      <c r="E220" s="20"/>
      <c r="F220" s="20"/>
      <c r="G220" s="20"/>
      <c r="H220" s="20"/>
      <c r="I220" s="20"/>
      <c r="J220" s="20"/>
      <c r="K220" s="20"/>
    </row>
    <row r="223" spans="2:11" ht="18.75">
      <c r="B223" s="733"/>
      <c r="C223" s="733"/>
      <c r="D223" s="733"/>
      <c r="E223" s="733"/>
      <c r="F223" s="733"/>
      <c r="G223" s="733"/>
      <c r="H223" s="733"/>
      <c r="I223" s="733"/>
      <c r="J223" s="733"/>
      <c r="K223" s="26"/>
    </row>
    <row r="224" spans="2:11" ht="15">
      <c r="B224" s="27"/>
      <c r="C224" s="20"/>
      <c r="D224" s="20"/>
      <c r="E224" s="20"/>
      <c r="F224" s="20"/>
      <c r="G224" s="20"/>
      <c r="H224" s="20"/>
      <c r="I224" s="20"/>
      <c r="J224" s="20"/>
      <c r="K224" s="20"/>
    </row>
    <row r="225" spans="2:11">
      <c r="B225" s="735"/>
      <c r="C225" s="735"/>
      <c r="D225" s="735"/>
      <c r="E225" s="735"/>
      <c r="F225" s="735"/>
      <c r="G225" s="735"/>
      <c r="H225" s="735"/>
      <c r="I225" s="735"/>
      <c r="J225" s="735"/>
      <c r="K225" s="26"/>
    </row>
    <row r="226" spans="2:11" ht="20.25" customHeight="1">
      <c r="B226" s="735"/>
      <c r="C226" s="735"/>
      <c r="D226" s="735"/>
      <c r="E226" s="735"/>
      <c r="F226" s="735"/>
      <c r="G226" s="735"/>
      <c r="H226" s="735"/>
      <c r="I226" s="735"/>
      <c r="J226" s="735"/>
      <c r="K226" s="26"/>
    </row>
    <row r="227" spans="2:11" ht="15">
      <c r="B227" s="28"/>
      <c r="C227" s="29"/>
      <c r="D227" s="29"/>
      <c r="E227" s="29"/>
      <c r="F227" s="29"/>
      <c r="G227" s="29"/>
      <c r="H227" s="20"/>
      <c r="I227" s="20"/>
      <c r="J227" s="20"/>
      <c r="K227" s="20"/>
    </row>
    <row r="228" spans="2:11" ht="15">
      <c r="B228" s="30"/>
      <c r="C228" s="20"/>
      <c r="D228" s="23"/>
      <c r="E228" s="23"/>
      <c r="F228" s="23"/>
      <c r="G228" s="20"/>
      <c r="H228" s="20"/>
      <c r="I228" s="20"/>
      <c r="J228" s="20"/>
      <c r="K228" s="20"/>
    </row>
    <row r="229" spans="2:11" ht="15">
      <c r="B229" s="21"/>
      <c r="C229" s="23"/>
      <c r="D229" s="23"/>
      <c r="E229" s="23"/>
      <c r="F229" s="23"/>
      <c r="G229" s="23"/>
      <c r="H229" s="23"/>
      <c r="I229" s="23"/>
      <c r="J229" s="23"/>
      <c r="K229" s="23"/>
    </row>
    <row r="230" spans="2:11" ht="15">
      <c r="B230" s="13"/>
      <c r="C230" s="23"/>
      <c r="D230" s="23"/>
      <c r="E230" s="32"/>
      <c r="F230" s="32"/>
      <c r="G230" s="32"/>
      <c r="H230" s="32"/>
      <c r="I230" s="32"/>
      <c r="J230" s="32"/>
      <c r="K230" s="32"/>
    </row>
    <row r="231" spans="2:11" ht="15">
      <c r="B231" s="13"/>
      <c r="C231" s="23"/>
      <c r="D231" s="20"/>
      <c r="E231" s="20"/>
      <c r="F231" s="20"/>
      <c r="G231" s="20"/>
      <c r="H231" s="20"/>
      <c r="I231" s="20"/>
      <c r="J231" s="20"/>
      <c r="K231" s="20"/>
    </row>
    <row r="232" spans="2:11" ht="15">
      <c r="B232" s="33"/>
      <c r="C232" s="20"/>
      <c r="D232" s="20"/>
      <c r="E232" s="20"/>
      <c r="F232" s="20"/>
      <c r="G232" s="20"/>
      <c r="H232" s="20"/>
      <c r="I232" s="20"/>
      <c r="J232" s="20"/>
      <c r="K232" s="20"/>
    </row>
    <row r="233" spans="2:11" ht="15">
      <c r="B233" s="35"/>
      <c r="C233" s="20"/>
      <c r="D233" s="20"/>
      <c r="E233" s="20"/>
      <c r="F233" s="20"/>
      <c r="G233" s="20"/>
      <c r="H233" s="20"/>
      <c r="I233" s="20"/>
      <c r="J233" s="20"/>
      <c r="K233" s="20"/>
    </row>
    <row r="234" spans="2:11" ht="15">
      <c r="B234" s="35"/>
      <c r="C234" s="20"/>
      <c r="D234" s="20"/>
      <c r="E234" s="20"/>
      <c r="F234" s="20"/>
      <c r="G234" s="20"/>
      <c r="H234" s="20"/>
      <c r="I234" s="20"/>
      <c r="J234" s="20"/>
      <c r="K234" s="20"/>
    </row>
    <row r="235" spans="2:11" ht="15">
      <c r="B235" s="35"/>
      <c r="C235" s="20"/>
      <c r="D235" s="20"/>
      <c r="E235" s="20"/>
      <c r="F235" s="20"/>
      <c r="G235" s="20"/>
      <c r="H235" s="20"/>
      <c r="I235" s="20"/>
      <c r="J235" s="20"/>
      <c r="K235" s="20"/>
    </row>
    <row r="236" spans="2:11" ht="15">
      <c r="B236" s="35"/>
      <c r="C236" s="20"/>
      <c r="D236" s="20"/>
      <c r="E236" s="20"/>
      <c r="F236" s="20"/>
      <c r="G236" s="20"/>
      <c r="H236" s="20"/>
      <c r="I236" s="20"/>
      <c r="J236" s="20"/>
      <c r="K236" s="20"/>
    </row>
    <row r="237" spans="2:11" ht="15">
      <c r="B237" s="16"/>
      <c r="C237" s="20"/>
      <c r="D237" s="20"/>
      <c r="E237" s="20"/>
      <c r="F237" s="20"/>
      <c r="G237" s="20"/>
      <c r="H237" s="20"/>
      <c r="I237" s="20"/>
      <c r="J237" s="20"/>
      <c r="K237" s="20"/>
    </row>
    <row r="238" spans="2:11" ht="15">
      <c r="B238" s="13"/>
      <c r="C238" s="20"/>
      <c r="D238" s="20"/>
      <c r="E238" s="20"/>
      <c r="F238" s="20"/>
      <c r="G238" s="20"/>
      <c r="H238" s="20"/>
      <c r="I238" s="20"/>
      <c r="J238" s="20"/>
      <c r="K238" s="20"/>
    </row>
    <row r="239" spans="2:11" ht="15">
      <c r="B239" s="33"/>
      <c r="C239" s="20"/>
      <c r="D239" s="20"/>
      <c r="E239" s="20"/>
      <c r="F239" s="20"/>
      <c r="G239" s="20"/>
      <c r="H239" s="20"/>
      <c r="I239" s="20"/>
      <c r="J239" s="20"/>
      <c r="K239" s="20"/>
    </row>
    <row r="240" spans="2:11" ht="15">
      <c r="B240" s="15"/>
      <c r="C240" s="20"/>
      <c r="D240" s="20"/>
      <c r="E240" s="20"/>
      <c r="F240" s="20"/>
      <c r="G240" s="20"/>
      <c r="H240" s="20"/>
      <c r="I240" s="20"/>
      <c r="J240" s="20"/>
      <c r="K240" s="20"/>
    </row>
    <row r="241" spans="2:11" ht="15">
      <c r="B241" s="15"/>
      <c r="C241" s="20"/>
      <c r="D241" s="20"/>
      <c r="E241" s="20"/>
      <c r="F241" s="20"/>
      <c r="G241" s="20"/>
      <c r="H241" s="20"/>
      <c r="I241" s="20"/>
      <c r="J241" s="20"/>
      <c r="K241" s="20"/>
    </row>
    <row r="242" spans="2:11" ht="15">
      <c r="B242" s="16"/>
      <c r="C242" s="20"/>
      <c r="D242" s="20"/>
      <c r="E242" s="20"/>
      <c r="F242" s="20"/>
      <c r="G242" s="20"/>
      <c r="H242" s="20"/>
      <c r="I242" s="20"/>
      <c r="J242" s="20"/>
      <c r="K242" s="20"/>
    </row>
    <row r="243" spans="2:11" ht="15">
      <c r="B243" s="16"/>
      <c r="C243" s="20"/>
      <c r="D243" s="20"/>
      <c r="E243" s="20"/>
      <c r="F243" s="20"/>
      <c r="G243" s="20"/>
      <c r="H243" s="20"/>
      <c r="I243" s="20"/>
      <c r="J243" s="20"/>
      <c r="K243" s="20"/>
    </row>
    <row r="244" spans="2:11" ht="15">
      <c r="B244" s="17"/>
      <c r="C244" s="20"/>
      <c r="D244" s="20"/>
      <c r="E244" s="20"/>
      <c r="F244" s="20"/>
      <c r="G244" s="20"/>
      <c r="H244" s="20"/>
      <c r="I244" s="20"/>
      <c r="J244" s="20"/>
      <c r="K244" s="20"/>
    </row>
    <row r="245" spans="2:11" ht="15">
      <c r="B245" s="17"/>
      <c r="C245" s="20"/>
      <c r="D245" s="20"/>
      <c r="E245" s="20"/>
      <c r="F245" s="20"/>
      <c r="G245" s="20"/>
      <c r="H245" s="20"/>
      <c r="I245" s="20"/>
      <c r="J245" s="20"/>
      <c r="K245" s="20"/>
    </row>
    <row r="246" spans="2:11" ht="15">
      <c r="B246" s="33"/>
      <c r="C246" s="20"/>
      <c r="D246" s="20"/>
      <c r="E246" s="20"/>
      <c r="F246" s="20"/>
      <c r="G246" s="20"/>
      <c r="H246" s="20"/>
      <c r="I246" s="20"/>
      <c r="J246" s="20"/>
      <c r="K246" s="20"/>
    </row>
    <row r="247" spans="2:11" ht="15">
      <c r="B247" s="18"/>
      <c r="C247" s="20"/>
      <c r="D247" s="20"/>
      <c r="E247" s="20"/>
      <c r="F247" s="20"/>
      <c r="G247" s="20"/>
      <c r="H247" s="20"/>
      <c r="I247" s="20"/>
      <c r="J247" s="20"/>
      <c r="K247" s="20"/>
    </row>
    <row r="248" spans="2:11" ht="15">
      <c r="B248" s="13"/>
      <c r="C248" s="20"/>
      <c r="D248" s="20"/>
      <c r="E248" s="20"/>
      <c r="F248" s="20"/>
      <c r="G248" s="20"/>
      <c r="H248" s="20"/>
      <c r="I248" s="20"/>
      <c r="J248" s="20"/>
      <c r="K248" s="20"/>
    </row>
    <row r="249" spans="2:11" ht="15">
      <c r="B249" s="13"/>
      <c r="C249" s="20"/>
      <c r="D249" s="20"/>
      <c r="E249" s="20"/>
      <c r="F249" s="20"/>
      <c r="G249" s="20"/>
      <c r="H249" s="20"/>
      <c r="I249" s="20"/>
      <c r="J249" s="20"/>
      <c r="K249" s="20"/>
    </row>
    <row r="250" spans="2:11" ht="15">
      <c r="B250" s="13"/>
      <c r="C250" s="20"/>
      <c r="D250" s="20"/>
      <c r="E250" s="20"/>
      <c r="F250" s="20"/>
      <c r="G250" s="20"/>
      <c r="H250" s="20"/>
      <c r="I250" s="20"/>
      <c r="J250" s="20"/>
      <c r="K250" s="20"/>
    </row>
    <row r="251" spans="2:11" ht="15">
      <c r="B251" s="13"/>
      <c r="C251" s="20"/>
      <c r="D251" s="20"/>
      <c r="E251" s="20"/>
      <c r="F251" s="20"/>
      <c r="G251" s="20"/>
      <c r="H251" s="20"/>
      <c r="I251" s="20"/>
      <c r="J251" s="20"/>
      <c r="K251" s="20"/>
    </row>
    <row r="252" spans="2:11" ht="15">
      <c r="B252" s="13"/>
      <c r="C252" s="20"/>
      <c r="D252" s="20"/>
      <c r="E252" s="20"/>
      <c r="F252" s="20"/>
      <c r="G252" s="20"/>
      <c r="H252" s="20"/>
      <c r="I252" s="20"/>
      <c r="J252" s="20"/>
      <c r="K252" s="20"/>
    </row>
    <row r="253" spans="2:11" ht="15">
      <c r="B253" s="13"/>
      <c r="C253" s="20"/>
      <c r="D253" s="20"/>
      <c r="E253" s="20"/>
      <c r="F253" s="20"/>
      <c r="G253" s="20"/>
      <c r="H253" s="20"/>
      <c r="I253" s="20"/>
      <c r="J253" s="20"/>
      <c r="K253" s="20"/>
    </row>
    <row r="254" spans="2:11" ht="15">
      <c r="B254" s="13"/>
      <c r="C254" s="20"/>
      <c r="D254" s="20"/>
      <c r="E254" s="20"/>
      <c r="F254" s="20"/>
      <c r="G254" s="20"/>
      <c r="H254" s="20"/>
      <c r="I254" s="20"/>
      <c r="J254" s="20"/>
      <c r="K254" s="20"/>
    </row>
    <row r="255" spans="2:11" ht="15">
      <c r="B255" s="13"/>
      <c r="C255" s="20"/>
      <c r="D255" s="20"/>
      <c r="E255" s="20"/>
      <c r="F255" s="20"/>
      <c r="G255" s="20"/>
      <c r="H255" s="20"/>
      <c r="I255" s="20"/>
      <c r="J255" s="20"/>
      <c r="K255" s="20"/>
    </row>
    <row r="256" spans="2:11" ht="15">
      <c r="B256" s="13"/>
      <c r="C256" s="20"/>
      <c r="D256" s="20"/>
      <c r="E256" s="20"/>
      <c r="F256" s="20"/>
      <c r="G256" s="20"/>
      <c r="H256" s="20"/>
      <c r="I256" s="20"/>
      <c r="J256" s="20"/>
      <c r="K256" s="20"/>
    </row>
    <row r="257" spans="2:11" ht="15">
      <c r="B257" s="13"/>
      <c r="C257" s="20"/>
      <c r="D257" s="20"/>
      <c r="E257" s="20"/>
      <c r="F257" s="20"/>
      <c r="G257" s="20"/>
      <c r="H257" s="20"/>
      <c r="I257" s="20"/>
      <c r="J257" s="20"/>
      <c r="K257" s="20"/>
    </row>
    <row r="258" spans="2:11" ht="15">
      <c r="B258" s="13"/>
      <c r="C258" s="20"/>
      <c r="D258" s="20"/>
      <c r="E258" s="20"/>
      <c r="F258" s="20"/>
      <c r="G258" s="20"/>
      <c r="H258" s="20"/>
      <c r="I258" s="20"/>
      <c r="J258" s="20"/>
      <c r="K258" s="20"/>
    </row>
    <row r="260" spans="2:11" ht="18.75">
      <c r="B260" s="733"/>
      <c r="C260" s="733"/>
      <c r="D260" s="733"/>
      <c r="E260" s="733"/>
      <c r="F260" s="733"/>
      <c r="G260" s="733"/>
      <c r="H260" s="733"/>
      <c r="I260" s="733"/>
      <c r="J260" s="733"/>
      <c r="K260" s="26"/>
    </row>
    <row r="261" spans="2:11" ht="15">
      <c r="B261" s="27"/>
      <c r="C261" s="20"/>
      <c r="D261" s="20"/>
      <c r="E261" s="20"/>
      <c r="F261" s="20"/>
      <c r="G261" s="20"/>
      <c r="H261" s="20"/>
      <c r="I261" s="20"/>
      <c r="J261" s="20"/>
      <c r="K261" s="20"/>
    </row>
    <row r="262" spans="2:11" ht="15">
      <c r="B262" s="735"/>
      <c r="C262" s="735"/>
      <c r="D262" s="735"/>
      <c r="E262" s="735"/>
      <c r="F262" s="735"/>
      <c r="G262" s="735"/>
      <c r="H262" s="735"/>
      <c r="I262" s="735"/>
      <c r="J262" s="735"/>
      <c r="K262" s="26"/>
    </row>
    <row r="263" spans="2:11" ht="15">
      <c r="B263" s="28"/>
      <c r="C263" s="29"/>
      <c r="D263" s="29"/>
      <c r="E263" s="29"/>
      <c r="F263" s="29"/>
      <c r="G263" s="29"/>
      <c r="H263" s="20"/>
      <c r="I263" s="20"/>
      <c r="J263" s="20"/>
      <c r="K263" s="20"/>
    </row>
    <row r="264" spans="2:11" ht="15">
      <c r="B264" s="30"/>
      <c r="C264" s="20"/>
      <c r="D264" s="23"/>
      <c r="E264" s="23"/>
      <c r="F264" s="23"/>
      <c r="G264" s="20"/>
      <c r="H264" s="20"/>
      <c r="I264" s="20"/>
      <c r="J264" s="20"/>
      <c r="K264" s="20"/>
    </row>
    <row r="265" spans="2:11" ht="15">
      <c r="B265" s="21"/>
      <c r="C265" s="23"/>
      <c r="D265" s="31"/>
      <c r="E265" s="23"/>
      <c r="F265" s="23"/>
      <c r="G265" s="23"/>
      <c r="H265" s="23"/>
      <c r="I265" s="23"/>
      <c r="J265" s="23"/>
      <c r="K265" s="23"/>
    </row>
    <row r="266" spans="2:11" ht="15">
      <c r="B266" s="13"/>
      <c r="C266" s="23"/>
      <c r="D266" s="23"/>
      <c r="E266" s="32"/>
      <c r="F266" s="32"/>
      <c r="G266" s="32"/>
      <c r="H266" s="32"/>
      <c r="I266" s="32"/>
      <c r="J266" s="32"/>
      <c r="K266" s="32"/>
    </row>
    <row r="267" spans="2:11" ht="15">
      <c r="B267" s="13"/>
      <c r="C267" s="23"/>
      <c r="D267" s="20"/>
      <c r="E267" s="20"/>
      <c r="F267" s="20"/>
      <c r="G267" s="20"/>
      <c r="H267" s="20"/>
      <c r="I267" s="20"/>
      <c r="J267" s="20"/>
      <c r="K267" s="20"/>
    </row>
    <row r="268" spans="2:11" ht="15">
      <c r="B268" s="33"/>
      <c r="C268" s="20"/>
      <c r="D268" s="20"/>
      <c r="E268" s="20"/>
      <c r="F268" s="20"/>
      <c r="G268" s="20"/>
      <c r="H268" s="20"/>
      <c r="I268" s="20"/>
      <c r="J268" s="20"/>
      <c r="K268" s="20"/>
    </row>
    <row r="269" spans="2:11" ht="15">
      <c r="B269" s="35"/>
      <c r="C269" s="20"/>
      <c r="D269" s="20"/>
      <c r="E269" s="20"/>
      <c r="F269" s="20"/>
      <c r="G269" s="20"/>
      <c r="H269" s="20"/>
      <c r="I269" s="20"/>
      <c r="J269" s="20"/>
      <c r="K269" s="20"/>
    </row>
    <row r="270" spans="2:11" ht="15">
      <c r="B270" s="35"/>
      <c r="C270" s="20"/>
      <c r="D270" s="20"/>
      <c r="E270" s="20"/>
      <c r="F270" s="20"/>
      <c r="G270" s="20"/>
      <c r="H270" s="20"/>
      <c r="I270" s="20"/>
      <c r="J270" s="20"/>
      <c r="K270" s="20"/>
    </row>
    <row r="271" spans="2:11" ht="15">
      <c r="B271" s="35"/>
      <c r="C271" s="20"/>
      <c r="D271" s="20"/>
      <c r="E271" s="20"/>
      <c r="F271" s="20"/>
      <c r="G271" s="20"/>
      <c r="H271" s="20"/>
      <c r="I271" s="20"/>
      <c r="J271" s="20"/>
      <c r="K271" s="20"/>
    </row>
    <row r="272" spans="2:11" ht="15">
      <c r="B272" s="35"/>
      <c r="C272" s="20"/>
      <c r="D272" s="20"/>
      <c r="E272" s="20"/>
      <c r="F272" s="20"/>
      <c r="G272" s="20"/>
      <c r="H272" s="20"/>
      <c r="I272" s="20"/>
      <c r="J272" s="20"/>
      <c r="K272" s="20"/>
    </row>
    <row r="273" spans="2:11" ht="15">
      <c r="B273" s="35"/>
      <c r="C273" s="20"/>
      <c r="D273" s="20"/>
      <c r="E273" s="20"/>
      <c r="F273" s="20"/>
      <c r="G273" s="20"/>
      <c r="H273" s="20"/>
      <c r="I273" s="20"/>
      <c r="J273" s="20"/>
      <c r="K273" s="20"/>
    </row>
    <row r="274" spans="2:11" ht="15">
      <c r="B274" s="35"/>
      <c r="C274" s="20"/>
      <c r="D274" s="20"/>
      <c r="E274" s="20"/>
      <c r="F274" s="20"/>
      <c r="G274" s="20"/>
      <c r="H274" s="20"/>
      <c r="I274" s="20"/>
      <c r="J274" s="20"/>
      <c r="K274" s="20"/>
    </row>
    <row r="275" spans="2:11" ht="15">
      <c r="B275" s="16"/>
      <c r="C275" s="20"/>
      <c r="D275" s="20"/>
      <c r="E275" s="20"/>
      <c r="F275" s="20"/>
      <c r="G275" s="20"/>
      <c r="H275" s="20"/>
      <c r="I275" s="20"/>
      <c r="J275" s="20"/>
      <c r="K275" s="20"/>
    </row>
    <row r="276" spans="2:11" ht="15">
      <c r="B276" s="13"/>
      <c r="C276" s="20"/>
      <c r="D276" s="20"/>
      <c r="E276" s="20"/>
      <c r="F276" s="20"/>
      <c r="G276" s="20"/>
      <c r="H276" s="20"/>
      <c r="I276" s="20"/>
      <c r="J276" s="20"/>
      <c r="K276" s="20"/>
    </row>
    <row r="277" spans="2:11" ht="15">
      <c r="B277" s="33"/>
      <c r="C277" s="20"/>
      <c r="D277" s="20"/>
      <c r="E277" s="20"/>
      <c r="F277" s="20"/>
      <c r="G277" s="20"/>
      <c r="H277" s="20"/>
      <c r="I277" s="20"/>
      <c r="J277" s="20"/>
      <c r="K277" s="20"/>
    </row>
    <row r="278" spans="2:11" ht="15">
      <c r="B278" s="15"/>
      <c r="C278" s="20"/>
      <c r="D278" s="20"/>
      <c r="E278" s="20"/>
      <c r="F278" s="20"/>
      <c r="G278" s="20"/>
      <c r="H278" s="20"/>
      <c r="I278" s="20"/>
      <c r="J278" s="20"/>
      <c r="K278" s="20"/>
    </row>
    <row r="279" spans="2:11" ht="15">
      <c r="B279" s="15"/>
      <c r="C279" s="20"/>
      <c r="D279" s="20"/>
      <c r="E279" s="20"/>
      <c r="F279" s="20"/>
      <c r="G279" s="20"/>
      <c r="H279" s="20"/>
      <c r="I279" s="20"/>
      <c r="J279" s="20"/>
      <c r="K279" s="20"/>
    </row>
    <row r="280" spans="2:11" ht="15">
      <c r="B280" s="15"/>
      <c r="C280" s="20"/>
      <c r="D280" s="20"/>
      <c r="E280" s="20"/>
      <c r="F280" s="20"/>
      <c r="G280" s="20"/>
      <c r="H280" s="20"/>
      <c r="I280" s="20"/>
      <c r="J280" s="20"/>
      <c r="K280" s="20"/>
    </row>
    <row r="281" spans="2:11" ht="15">
      <c r="B281" s="16"/>
      <c r="C281" s="20"/>
      <c r="D281" s="20"/>
      <c r="E281" s="20"/>
      <c r="F281" s="20"/>
      <c r="G281" s="20"/>
      <c r="H281" s="20"/>
      <c r="I281" s="20"/>
      <c r="J281" s="20"/>
      <c r="K281" s="20"/>
    </row>
    <row r="282" spans="2:11" ht="15">
      <c r="B282" s="16"/>
      <c r="C282" s="20"/>
      <c r="D282" s="20"/>
      <c r="E282" s="20"/>
      <c r="F282" s="20"/>
      <c r="G282" s="20"/>
      <c r="H282" s="20"/>
      <c r="I282" s="20"/>
      <c r="J282" s="20"/>
      <c r="K282" s="20"/>
    </row>
    <row r="283" spans="2:11" ht="15">
      <c r="B283" s="17"/>
      <c r="C283" s="20"/>
      <c r="D283" s="20"/>
      <c r="E283" s="20"/>
      <c r="F283" s="20"/>
      <c r="G283" s="20"/>
      <c r="H283" s="20"/>
      <c r="I283" s="20"/>
      <c r="J283" s="20"/>
      <c r="K283" s="20"/>
    </row>
    <row r="284" spans="2:11" ht="15">
      <c r="B284" s="17"/>
      <c r="C284" s="20"/>
      <c r="D284" s="20"/>
      <c r="E284" s="20"/>
      <c r="F284" s="20"/>
      <c r="G284" s="20"/>
      <c r="H284" s="20"/>
      <c r="I284" s="20"/>
      <c r="J284" s="20"/>
      <c r="K284" s="20"/>
    </row>
    <row r="285" spans="2:11" ht="15">
      <c r="B285" s="33"/>
      <c r="C285" s="20"/>
      <c r="D285" s="20"/>
      <c r="E285" s="20"/>
      <c r="F285" s="20"/>
      <c r="G285" s="20"/>
      <c r="H285" s="20"/>
      <c r="I285" s="20"/>
      <c r="J285" s="20"/>
      <c r="K285" s="20"/>
    </row>
    <row r="286" spans="2:11" ht="15">
      <c r="B286" s="18"/>
      <c r="C286" s="20"/>
      <c r="D286" s="20"/>
      <c r="E286" s="20"/>
      <c r="F286" s="20"/>
      <c r="G286" s="20"/>
      <c r="H286" s="20"/>
      <c r="I286" s="20"/>
      <c r="J286" s="20"/>
      <c r="K286" s="20"/>
    </row>
    <row r="287" spans="2:11" ht="15">
      <c r="B287" s="18"/>
      <c r="C287" s="20"/>
      <c r="D287" s="20"/>
      <c r="E287" s="20"/>
      <c r="F287" s="20"/>
      <c r="G287" s="20"/>
      <c r="H287" s="20"/>
      <c r="I287" s="20"/>
      <c r="J287" s="20"/>
      <c r="K287" s="20"/>
    </row>
    <row r="288" spans="2:11" ht="15">
      <c r="B288" s="13"/>
      <c r="C288" s="20"/>
      <c r="D288" s="20"/>
      <c r="E288" s="20"/>
      <c r="F288" s="20"/>
      <c r="G288" s="20"/>
      <c r="H288" s="20"/>
      <c r="I288" s="20"/>
      <c r="J288" s="20"/>
      <c r="K288" s="20"/>
    </row>
    <row r="289" spans="2:11" ht="15">
      <c r="B289" s="13"/>
      <c r="C289" s="20"/>
      <c r="D289" s="20"/>
      <c r="E289" s="20"/>
      <c r="F289" s="20"/>
      <c r="G289" s="20"/>
      <c r="H289" s="20"/>
      <c r="I289" s="20"/>
      <c r="J289" s="20"/>
      <c r="K289" s="20"/>
    </row>
    <row r="290" spans="2:11" ht="15">
      <c r="B290" s="13"/>
      <c r="C290" s="20"/>
      <c r="D290" s="20"/>
      <c r="E290" s="20"/>
      <c r="F290" s="20"/>
      <c r="G290" s="20"/>
      <c r="H290" s="20"/>
      <c r="I290" s="20"/>
      <c r="J290" s="20"/>
      <c r="K290" s="20"/>
    </row>
    <row r="291" spans="2:11" ht="15">
      <c r="B291" s="13"/>
      <c r="C291" s="20"/>
      <c r="D291" s="20"/>
      <c r="E291" s="20"/>
      <c r="F291" s="20"/>
      <c r="G291" s="20"/>
      <c r="H291" s="20"/>
      <c r="I291" s="20"/>
      <c r="J291" s="20"/>
      <c r="K291" s="20"/>
    </row>
    <row r="292" spans="2:11" ht="15">
      <c r="B292" s="13"/>
      <c r="C292" s="20"/>
      <c r="D292" s="20"/>
      <c r="E292" s="20"/>
      <c r="F292" s="20"/>
      <c r="G292" s="20"/>
      <c r="H292" s="20"/>
      <c r="I292" s="20"/>
      <c r="J292" s="20"/>
      <c r="K292" s="20"/>
    </row>
    <row r="293" spans="2:11" ht="15">
      <c r="B293" s="13"/>
      <c r="C293" s="20"/>
      <c r="D293" s="20"/>
      <c r="E293" s="20"/>
      <c r="F293" s="20"/>
      <c r="G293" s="20"/>
      <c r="H293" s="20"/>
      <c r="I293" s="20"/>
      <c r="J293" s="20"/>
      <c r="K293" s="20"/>
    </row>
    <row r="294" spans="2:11" ht="15">
      <c r="B294" s="13"/>
      <c r="C294" s="20"/>
      <c r="D294" s="20"/>
      <c r="E294" s="20"/>
      <c r="F294" s="20"/>
      <c r="G294" s="20"/>
      <c r="H294" s="20"/>
      <c r="I294" s="20"/>
      <c r="J294" s="20"/>
      <c r="K294" s="20"/>
    </row>
    <row r="295" spans="2:11" ht="15">
      <c r="B295" s="13"/>
      <c r="C295" s="20"/>
      <c r="D295" s="20"/>
      <c r="E295" s="20"/>
      <c r="F295" s="20"/>
      <c r="G295" s="20"/>
      <c r="H295" s="20"/>
      <c r="I295" s="20"/>
      <c r="J295" s="20"/>
      <c r="K295" s="20"/>
    </row>
    <row r="296" spans="2:11" ht="15">
      <c r="B296" s="13"/>
      <c r="C296" s="20"/>
      <c r="D296" s="20"/>
      <c r="E296" s="20"/>
      <c r="F296" s="20"/>
      <c r="G296" s="20"/>
      <c r="H296" s="20"/>
      <c r="I296" s="20"/>
      <c r="J296" s="20"/>
      <c r="K296" s="20"/>
    </row>
    <row r="297" spans="2:11" ht="15">
      <c r="B297" s="13"/>
      <c r="C297" s="20"/>
      <c r="D297" s="20"/>
      <c r="E297" s="20"/>
      <c r="F297" s="20"/>
      <c r="G297" s="20"/>
      <c r="H297" s="20"/>
      <c r="I297" s="20"/>
      <c r="J297" s="20"/>
      <c r="K297" s="20"/>
    </row>
    <row r="300" spans="2:11" ht="18.75">
      <c r="B300" s="733"/>
      <c r="C300" s="733"/>
      <c r="D300" s="733"/>
      <c r="E300" s="733"/>
      <c r="F300" s="733"/>
      <c r="G300" s="733"/>
      <c r="H300" s="733"/>
      <c r="I300" s="733"/>
      <c r="J300" s="733"/>
      <c r="K300" s="26"/>
    </row>
    <row r="301" spans="2:11" ht="15">
      <c r="B301" s="27"/>
      <c r="C301" s="20"/>
      <c r="D301" s="20"/>
      <c r="E301" s="20"/>
      <c r="F301" s="20"/>
      <c r="G301" s="20"/>
      <c r="H301" s="20"/>
      <c r="I301" s="20"/>
      <c r="J301" s="20"/>
      <c r="K301" s="20"/>
    </row>
    <row r="302" spans="2:11">
      <c r="B302" s="735"/>
      <c r="C302" s="735"/>
      <c r="D302" s="735"/>
      <c r="E302" s="735"/>
      <c r="F302" s="735"/>
      <c r="G302" s="735"/>
      <c r="H302" s="735"/>
      <c r="I302" s="735"/>
      <c r="J302" s="735"/>
      <c r="K302" s="26"/>
    </row>
    <row r="303" spans="2:11" ht="20.25" customHeight="1">
      <c r="B303" s="735"/>
      <c r="C303" s="735"/>
      <c r="D303" s="735"/>
      <c r="E303" s="735"/>
      <c r="F303" s="735"/>
      <c r="G303" s="735"/>
      <c r="H303" s="735"/>
      <c r="I303" s="735"/>
      <c r="J303" s="735"/>
      <c r="K303" s="26"/>
    </row>
    <row r="304" spans="2:11" ht="15">
      <c r="B304" s="28"/>
      <c r="C304" s="29"/>
      <c r="D304" s="29"/>
      <c r="E304" s="29"/>
      <c r="F304" s="29"/>
      <c r="G304" s="29"/>
      <c r="H304" s="29"/>
      <c r="I304" s="29"/>
      <c r="J304" s="29"/>
      <c r="K304" s="29"/>
    </row>
    <row r="305" spans="2:11" ht="15">
      <c r="B305" s="30"/>
      <c r="C305" s="20"/>
      <c r="D305" s="23"/>
      <c r="E305" s="20"/>
      <c r="F305" s="23"/>
      <c r="G305" s="20"/>
      <c r="H305" s="20"/>
      <c r="I305" s="20"/>
      <c r="J305" s="20"/>
      <c r="K305" s="20"/>
    </row>
    <row r="306" spans="2:11" ht="15">
      <c r="B306" s="21"/>
      <c r="C306" s="23"/>
      <c r="D306" s="23"/>
      <c r="E306" s="23"/>
      <c r="F306" s="23"/>
      <c r="G306" s="23"/>
      <c r="H306" s="23"/>
      <c r="I306" s="23"/>
      <c r="J306" s="23"/>
      <c r="K306" s="23"/>
    </row>
    <row r="307" spans="2:11" ht="15">
      <c r="B307" s="13"/>
      <c r="C307" s="23"/>
      <c r="D307" s="23"/>
      <c r="E307" s="32"/>
      <c r="F307" s="32"/>
      <c r="G307" s="32"/>
      <c r="H307" s="32"/>
      <c r="I307" s="32"/>
      <c r="J307" s="32"/>
      <c r="K307" s="32"/>
    </row>
    <row r="308" spans="2:11" ht="15">
      <c r="B308" s="13"/>
      <c r="C308" s="23"/>
      <c r="D308" s="20"/>
      <c r="E308" s="20"/>
      <c r="F308" s="20"/>
      <c r="G308" s="20"/>
      <c r="H308" s="20"/>
      <c r="I308" s="20"/>
      <c r="J308" s="20"/>
      <c r="K308" s="20"/>
    </row>
    <row r="309" spans="2:11" ht="15">
      <c r="B309" s="33"/>
      <c r="C309" s="20"/>
      <c r="D309" s="20"/>
      <c r="E309" s="20"/>
      <c r="F309" s="20"/>
      <c r="G309" s="20"/>
      <c r="H309" s="20"/>
      <c r="I309" s="20"/>
      <c r="J309" s="20"/>
      <c r="K309" s="20"/>
    </row>
    <row r="310" spans="2:11" ht="15">
      <c r="B310" s="34"/>
      <c r="C310" s="20"/>
      <c r="D310" s="20"/>
      <c r="E310" s="20"/>
      <c r="F310" s="20"/>
      <c r="G310" s="20"/>
      <c r="H310" s="20"/>
      <c r="I310" s="20"/>
      <c r="J310" s="20"/>
      <c r="K310" s="20"/>
    </row>
    <row r="311" spans="2:11" ht="15">
      <c r="B311" s="34"/>
      <c r="C311" s="20"/>
      <c r="D311" s="20"/>
      <c r="E311" s="20"/>
      <c r="F311" s="20"/>
      <c r="G311" s="20"/>
      <c r="H311" s="20"/>
      <c r="I311" s="20"/>
      <c r="J311" s="20"/>
      <c r="K311" s="20"/>
    </row>
    <row r="312" spans="2:11" ht="15">
      <c r="B312" s="35"/>
      <c r="C312" s="20"/>
      <c r="D312" s="20"/>
      <c r="E312" s="20"/>
      <c r="F312" s="20"/>
      <c r="G312" s="20"/>
      <c r="H312" s="20"/>
      <c r="I312" s="20"/>
      <c r="J312" s="20"/>
      <c r="K312" s="20"/>
    </row>
    <row r="313" spans="2:11" ht="15">
      <c r="B313" s="35"/>
      <c r="C313" s="20"/>
      <c r="D313" s="20"/>
      <c r="E313" s="20"/>
      <c r="F313" s="20"/>
      <c r="G313" s="20"/>
      <c r="H313" s="20"/>
      <c r="I313" s="20"/>
      <c r="J313" s="20"/>
      <c r="K313" s="20"/>
    </row>
    <row r="314" spans="2:11" ht="15">
      <c r="B314" s="16"/>
      <c r="C314" s="20"/>
      <c r="D314" s="20"/>
      <c r="E314" s="20"/>
      <c r="F314" s="20"/>
      <c r="G314" s="20"/>
      <c r="H314" s="20"/>
      <c r="I314" s="20"/>
      <c r="J314" s="20"/>
      <c r="K314" s="20"/>
    </row>
    <row r="315" spans="2:11" ht="15">
      <c r="B315" s="13"/>
      <c r="C315" s="20"/>
      <c r="D315" s="20"/>
      <c r="E315" s="20"/>
      <c r="F315" s="20"/>
      <c r="G315" s="20"/>
      <c r="H315" s="20"/>
      <c r="I315" s="20"/>
      <c r="J315" s="20"/>
      <c r="K315" s="20"/>
    </row>
    <row r="316" spans="2:11" ht="15">
      <c r="B316" s="33"/>
      <c r="C316" s="20"/>
      <c r="D316" s="20"/>
      <c r="E316" s="20"/>
      <c r="F316" s="20"/>
      <c r="G316" s="20"/>
      <c r="H316" s="20"/>
      <c r="I316" s="20"/>
      <c r="J316" s="20"/>
      <c r="K316" s="20"/>
    </row>
    <row r="317" spans="2:11" ht="15">
      <c r="B317" s="15"/>
      <c r="C317" s="20"/>
      <c r="D317" s="20"/>
      <c r="E317" s="20"/>
      <c r="F317" s="20"/>
      <c r="G317" s="20"/>
      <c r="H317" s="20"/>
      <c r="I317" s="20"/>
      <c r="J317" s="20"/>
      <c r="K317" s="20"/>
    </row>
    <row r="318" spans="2:11" ht="15">
      <c r="B318" s="15"/>
      <c r="C318" s="20"/>
      <c r="D318" s="20"/>
      <c r="E318" s="20"/>
      <c r="F318" s="20"/>
      <c r="G318" s="20"/>
      <c r="H318" s="20"/>
      <c r="I318" s="20"/>
      <c r="J318" s="20"/>
      <c r="K318" s="20"/>
    </row>
    <row r="319" spans="2:11" ht="15">
      <c r="B319" s="16"/>
      <c r="C319" s="20"/>
      <c r="D319" s="20"/>
      <c r="E319" s="20"/>
      <c r="F319" s="20"/>
      <c r="G319" s="20"/>
      <c r="H319" s="20"/>
      <c r="I319" s="20"/>
      <c r="J319" s="20"/>
      <c r="K319" s="20"/>
    </row>
    <row r="320" spans="2:11" ht="15">
      <c r="B320" s="16"/>
      <c r="C320" s="20"/>
      <c r="D320" s="20"/>
      <c r="E320" s="20"/>
      <c r="F320" s="20"/>
      <c r="G320" s="20"/>
      <c r="H320" s="20"/>
      <c r="I320" s="20"/>
      <c r="J320" s="20"/>
      <c r="K320" s="20"/>
    </row>
    <row r="321" spans="2:11" ht="15">
      <c r="B321" s="17"/>
      <c r="C321" s="20"/>
      <c r="D321" s="20"/>
      <c r="E321" s="20"/>
      <c r="F321" s="20"/>
      <c r="G321" s="20"/>
      <c r="H321" s="20"/>
      <c r="I321" s="20"/>
      <c r="J321" s="20"/>
      <c r="K321" s="20"/>
    </row>
    <row r="322" spans="2:11" ht="15">
      <c r="B322" s="17"/>
      <c r="C322" s="20"/>
      <c r="D322" s="20"/>
      <c r="E322" s="20"/>
      <c r="F322" s="20"/>
      <c r="G322" s="20"/>
      <c r="H322" s="20"/>
      <c r="I322" s="20"/>
      <c r="J322" s="20"/>
      <c r="K322" s="20"/>
    </row>
    <row r="323" spans="2:11" ht="15">
      <c r="B323" s="33"/>
      <c r="C323" s="20"/>
      <c r="D323" s="20"/>
      <c r="E323" s="20"/>
      <c r="F323" s="20"/>
      <c r="G323" s="20"/>
      <c r="H323" s="20"/>
      <c r="I323" s="20"/>
      <c r="J323" s="20"/>
      <c r="K323" s="20"/>
    </row>
    <row r="324" spans="2:11" ht="15">
      <c r="B324" s="18"/>
      <c r="C324" s="20"/>
      <c r="D324" s="20"/>
      <c r="E324" s="20"/>
      <c r="F324" s="20"/>
      <c r="G324" s="20"/>
      <c r="H324" s="20"/>
      <c r="I324" s="20"/>
      <c r="J324" s="20"/>
      <c r="K324" s="20"/>
    </row>
    <row r="325" spans="2:11" ht="15">
      <c r="B325" s="18"/>
      <c r="C325" s="20"/>
      <c r="D325" s="20"/>
      <c r="E325" s="20"/>
      <c r="F325" s="20"/>
      <c r="G325" s="20"/>
      <c r="H325" s="20"/>
      <c r="I325" s="20"/>
      <c r="J325" s="20"/>
      <c r="K325" s="20"/>
    </row>
    <row r="326" spans="2:11" ht="15">
      <c r="B326" s="13"/>
      <c r="C326" s="20"/>
      <c r="D326" s="20"/>
      <c r="E326" s="20"/>
      <c r="F326" s="20"/>
      <c r="G326" s="20"/>
      <c r="H326" s="20"/>
      <c r="I326" s="20"/>
      <c r="J326" s="20"/>
      <c r="K326" s="20"/>
    </row>
    <row r="327" spans="2:11" ht="15">
      <c r="B327" s="13"/>
      <c r="C327" s="20"/>
      <c r="D327" s="20"/>
      <c r="E327" s="20"/>
      <c r="F327" s="20"/>
      <c r="G327" s="20"/>
      <c r="H327" s="20"/>
      <c r="I327" s="20"/>
      <c r="J327" s="20"/>
      <c r="K327" s="20"/>
    </row>
    <row r="328" spans="2:11" ht="15">
      <c r="B328" s="13"/>
      <c r="C328" s="20"/>
      <c r="D328" s="20"/>
      <c r="E328" s="20"/>
      <c r="F328" s="20"/>
      <c r="G328" s="20"/>
      <c r="H328" s="20"/>
      <c r="I328" s="20"/>
      <c r="J328" s="20"/>
      <c r="K328" s="20"/>
    </row>
    <row r="329" spans="2:11" ht="15">
      <c r="B329" s="13"/>
      <c r="C329" s="20"/>
      <c r="D329" s="20"/>
      <c r="E329" s="20"/>
      <c r="F329" s="20"/>
      <c r="G329" s="20"/>
      <c r="H329" s="20"/>
      <c r="I329" s="20"/>
      <c r="J329" s="20"/>
      <c r="K329" s="20"/>
    </row>
    <row r="330" spans="2:11" ht="15">
      <c r="B330" s="13"/>
      <c r="C330" s="20"/>
      <c r="D330" s="20"/>
      <c r="E330" s="20"/>
      <c r="F330" s="20"/>
      <c r="G330" s="20"/>
      <c r="H330" s="20"/>
      <c r="I330" s="20"/>
      <c r="J330" s="20"/>
      <c r="K330" s="20"/>
    </row>
    <row r="331" spans="2:11" ht="15">
      <c r="B331" s="13"/>
      <c r="C331" s="20"/>
      <c r="D331" s="20"/>
      <c r="E331" s="20"/>
      <c r="F331" s="20"/>
      <c r="G331" s="20"/>
      <c r="H331" s="20"/>
      <c r="I331" s="20"/>
      <c r="J331" s="20"/>
      <c r="K331" s="20"/>
    </row>
    <row r="332" spans="2:11" ht="15">
      <c r="B332" s="13"/>
      <c r="C332" s="20"/>
      <c r="D332" s="20"/>
      <c r="E332" s="20"/>
      <c r="F332" s="20"/>
      <c r="G332" s="20"/>
      <c r="H332" s="20"/>
      <c r="I332" s="20"/>
      <c r="J332" s="20"/>
      <c r="K332" s="20"/>
    </row>
    <row r="333" spans="2:11" ht="15">
      <c r="B333" s="13"/>
      <c r="C333" s="20"/>
      <c r="D333" s="20"/>
      <c r="E333" s="20"/>
      <c r="F333" s="20"/>
      <c r="G333" s="20"/>
      <c r="H333" s="20"/>
      <c r="I333" s="20"/>
      <c r="J333" s="20"/>
      <c r="K333" s="20"/>
    </row>
    <row r="334" spans="2:11" ht="15">
      <c r="B334" s="13"/>
      <c r="C334" s="20"/>
      <c r="D334" s="20"/>
      <c r="E334" s="20"/>
      <c r="F334" s="20"/>
      <c r="G334" s="20"/>
      <c r="H334" s="20"/>
      <c r="I334" s="20"/>
      <c r="J334" s="20"/>
      <c r="K334" s="20"/>
    </row>
    <row r="335" spans="2:11" ht="15">
      <c r="B335" s="13"/>
      <c r="C335" s="20"/>
      <c r="D335" s="20"/>
      <c r="E335" s="20"/>
      <c r="F335" s="20"/>
      <c r="G335" s="20"/>
      <c r="H335" s="20"/>
      <c r="I335" s="20"/>
      <c r="J335" s="20"/>
      <c r="K335" s="20"/>
    </row>
    <row r="338" spans="2:11" ht="18.75">
      <c r="B338" s="733"/>
      <c r="C338" s="733"/>
      <c r="D338" s="733"/>
      <c r="E338" s="733"/>
      <c r="F338" s="733"/>
      <c r="G338" s="733"/>
      <c r="H338" s="733"/>
      <c r="I338" s="733"/>
      <c r="J338" s="733"/>
      <c r="K338" s="26"/>
    </row>
    <row r="339" spans="2:11" ht="15">
      <c r="B339" s="27"/>
      <c r="C339" s="20"/>
      <c r="D339" s="20"/>
      <c r="E339" s="20"/>
      <c r="F339" s="20"/>
      <c r="G339" s="20"/>
      <c r="H339" s="20"/>
      <c r="I339" s="20"/>
      <c r="J339" s="20"/>
      <c r="K339" s="20"/>
    </row>
    <row r="340" spans="2:11">
      <c r="B340" s="735"/>
      <c r="C340" s="735"/>
      <c r="D340" s="735"/>
      <c r="E340" s="735"/>
      <c r="F340" s="735"/>
      <c r="G340" s="735"/>
      <c r="H340" s="735"/>
      <c r="I340" s="735"/>
      <c r="J340" s="735"/>
      <c r="K340" s="26"/>
    </row>
    <row r="341" spans="2:11" ht="18" customHeight="1">
      <c r="B341" s="735"/>
      <c r="C341" s="735"/>
      <c r="D341" s="735"/>
      <c r="E341" s="735"/>
      <c r="F341" s="735"/>
      <c r="G341" s="735"/>
      <c r="H341" s="735"/>
      <c r="I341" s="735"/>
      <c r="J341" s="735"/>
      <c r="K341" s="26"/>
    </row>
    <row r="342" spans="2:11" ht="15">
      <c r="B342" s="28"/>
      <c r="C342" s="29"/>
      <c r="D342" s="29"/>
      <c r="E342" s="29"/>
      <c r="F342" s="20"/>
      <c r="G342" s="20"/>
      <c r="H342" s="20"/>
      <c r="I342" s="20"/>
      <c r="J342" s="20"/>
      <c r="K342" s="20"/>
    </row>
    <row r="343" spans="2:11" ht="15">
      <c r="B343" s="30"/>
      <c r="C343" s="20"/>
      <c r="D343" s="31"/>
      <c r="E343" s="20"/>
      <c r="F343" s="23"/>
      <c r="G343" s="20"/>
      <c r="H343" s="20"/>
      <c r="I343" s="20"/>
      <c r="J343" s="20"/>
      <c r="K343" s="20"/>
    </row>
    <row r="344" spans="2:11" ht="15">
      <c r="B344" s="21"/>
      <c r="C344" s="23"/>
      <c r="D344" s="23"/>
      <c r="E344" s="23"/>
      <c r="F344" s="23"/>
      <c r="G344" s="23"/>
      <c r="H344" s="23"/>
      <c r="I344" s="23"/>
      <c r="J344" s="23"/>
      <c r="K344" s="23"/>
    </row>
    <row r="345" spans="2:11" ht="15">
      <c r="B345" s="13"/>
      <c r="C345" s="23"/>
      <c r="D345" s="23"/>
      <c r="E345" s="32"/>
      <c r="F345" s="32"/>
      <c r="G345" s="32"/>
      <c r="H345" s="32"/>
      <c r="I345" s="32"/>
      <c r="J345" s="32"/>
      <c r="K345" s="32"/>
    </row>
    <row r="346" spans="2:11" ht="15">
      <c r="B346" s="13"/>
      <c r="C346" s="23"/>
      <c r="D346" s="20"/>
      <c r="E346" s="20"/>
      <c r="F346" s="20"/>
      <c r="G346" s="20"/>
      <c r="H346" s="20"/>
      <c r="I346" s="20"/>
      <c r="J346" s="20"/>
      <c r="K346" s="20"/>
    </row>
    <row r="347" spans="2:11" ht="15">
      <c r="B347" s="33"/>
      <c r="C347" s="20"/>
      <c r="D347" s="20"/>
      <c r="E347" s="20"/>
      <c r="F347" s="20"/>
      <c r="G347" s="20"/>
      <c r="H347" s="20"/>
      <c r="I347" s="20"/>
      <c r="J347" s="20"/>
      <c r="K347" s="20"/>
    </row>
    <row r="348" spans="2:11" ht="15">
      <c r="B348" s="35"/>
      <c r="C348" s="20"/>
      <c r="D348" s="20"/>
      <c r="E348" s="20"/>
      <c r="F348" s="20"/>
      <c r="G348" s="20"/>
      <c r="H348" s="20"/>
      <c r="I348" s="20"/>
      <c r="J348" s="20"/>
      <c r="K348" s="20"/>
    </row>
    <row r="349" spans="2:11" ht="15">
      <c r="B349" s="35"/>
      <c r="C349" s="20"/>
      <c r="D349" s="20"/>
      <c r="E349" s="20"/>
      <c r="F349" s="20"/>
      <c r="G349" s="20"/>
      <c r="H349" s="20"/>
      <c r="I349" s="20"/>
      <c r="J349" s="20"/>
      <c r="K349" s="20"/>
    </row>
    <row r="350" spans="2:11" ht="15">
      <c r="B350" s="35"/>
      <c r="C350" s="20"/>
      <c r="D350" s="20"/>
      <c r="E350" s="20"/>
      <c r="F350" s="20"/>
      <c r="G350" s="20"/>
      <c r="H350" s="20"/>
      <c r="I350" s="20"/>
      <c r="J350" s="20"/>
      <c r="K350" s="20"/>
    </row>
    <row r="351" spans="2:11" ht="15">
      <c r="B351" s="35"/>
      <c r="C351" s="20"/>
      <c r="D351" s="20"/>
      <c r="E351" s="20"/>
      <c r="F351" s="20"/>
      <c r="G351" s="20"/>
      <c r="H351" s="20"/>
      <c r="I351" s="20"/>
      <c r="J351" s="20"/>
      <c r="K351" s="20"/>
    </row>
    <row r="352" spans="2:11" ht="15">
      <c r="B352" s="35"/>
      <c r="C352" s="20"/>
      <c r="D352" s="20"/>
      <c r="E352" s="20"/>
      <c r="F352" s="20"/>
      <c r="G352" s="20"/>
      <c r="H352" s="20"/>
      <c r="I352" s="20"/>
      <c r="J352" s="20"/>
      <c r="K352" s="20"/>
    </row>
    <row r="353" spans="2:11" ht="15">
      <c r="B353" s="35"/>
      <c r="C353" s="20"/>
      <c r="D353" s="20"/>
      <c r="E353" s="20"/>
      <c r="F353" s="20"/>
      <c r="G353" s="20"/>
      <c r="H353" s="20"/>
      <c r="I353" s="20"/>
      <c r="J353" s="20"/>
      <c r="K353" s="20"/>
    </row>
    <row r="354" spans="2:11" ht="15">
      <c r="B354" s="16"/>
      <c r="C354" s="20"/>
      <c r="D354" s="20"/>
      <c r="E354" s="20"/>
      <c r="F354" s="20"/>
      <c r="G354" s="20"/>
      <c r="H354" s="20"/>
      <c r="I354" s="20"/>
      <c r="J354" s="20"/>
      <c r="K354" s="20"/>
    </row>
    <row r="355" spans="2:11" ht="15">
      <c r="B355" s="13"/>
      <c r="C355" s="20"/>
      <c r="D355" s="20"/>
      <c r="E355" s="20"/>
      <c r="F355" s="20"/>
      <c r="G355" s="20"/>
      <c r="H355" s="20"/>
      <c r="I355" s="20"/>
      <c r="J355" s="20"/>
      <c r="K355" s="20"/>
    </row>
    <row r="356" spans="2:11" ht="15">
      <c r="B356" s="33"/>
      <c r="C356" s="20"/>
      <c r="D356" s="20"/>
      <c r="E356" s="20"/>
      <c r="F356" s="20"/>
      <c r="G356" s="20"/>
      <c r="H356" s="20"/>
      <c r="I356" s="20"/>
      <c r="J356" s="20"/>
      <c r="K356" s="20"/>
    </row>
    <row r="357" spans="2:11" ht="15">
      <c r="B357" s="15"/>
      <c r="C357" s="20"/>
      <c r="D357" s="20"/>
      <c r="E357" s="20"/>
      <c r="F357" s="20"/>
      <c r="G357" s="20"/>
      <c r="H357" s="20"/>
      <c r="I357" s="20"/>
      <c r="J357" s="20"/>
      <c r="K357" s="20"/>
    </row>
    <row r="358" spans="2:11" ht="15">
      <c r="B358" s="15"/>
      <c r="C358" s="20"/>
      <c r="D358" s="20"/>
      <c r="E358" s="20"/>
      <c r="F358" s="20"/>
      <c r="G358" s="20"/>
      <c r="H358" s="20"/>
      <c r="I358" s="20"/>
      <c r="J358" s="20"/>
      <c r="K358" s="20"/>
    </row>
    <row r="359" spans="2:11" ht="15">
      <c r="B359" s="15"/>
      <c r="C359" s="20"/>
      <c r="D359" s="20"/>
      <c r="E359" s="20"/>
      <c r="F359" s="20"/>
      <c r="G359" s="20"/>
      <c r="H359" s="20"/>
      <c r="I359" s="20"/>
      <c r="J359" s="20"/>
      <c r="K359" s="20"/>
    </row>
    <row r="360" spans="2:11" ht="15">
      <c r="B360" s="15"/>
      <c r="C360" s="20"/>
      <c r="D360" s="20"/>
      <c r="E360" s="20"/>
      <c r="F360" s="20"/>
      <c r="G360" s="20"/>
      <c r="H360" s="20"/>
      <c r="I360" s="20"/>
      <c r="J360" s="20"/>
      <c r="K360" s="20"/>
    </row>
    <row r="361" spans="2:11" ht="15">
      <c r="B361" s="15"/>
      <c r="C361" s="20"/>
      <c r="D361" s="20"/>
      <c r="E361" s="20"/>
      <c r="F361" s="20"/>
      <c r="G361" s="20"/>
      <c r="H361" s="20"/>
      <c r="I361" s="20"/>
      <c r="J361" s="20"/>
      <c r="K361" s="20"/>
    </row>
    <row r="362" spans="2:11" ht="15">
      <c r="B362" s="15"/>
      <c r="C362" s="20"/>
      <c r="D362" s="20"/>
      <c r="E362" s="20"/>
      <c r="F362" s="20"/>
      <c r="G362" s="20"/>
      <c r="H362" s="20"/>
      <c r="I362" s="20"/>
      <c r="J362" s="20"/>
      <c r="K362" s="20"/>
    </row>
    <row r="363" spans="2:11" ht="15">
      <c r="B363" s="15"/>
      <c r="C363" s="20"/>
      <c r="D363" s="20"/>
      <c r="E363" s="20"/>
      <c r="F363" s="20"/>
      <c r="G363" s="20"/>
      <c r="H363" s="20"/>
      <c r="I363" s="20"/>
      <c r="J363" s="20"/>
      <c r="K363" s="20"/>
    </row>
    <row r="364" spans="2:11" ht="15">
      <c r="B364" s="15"/>
      <c r="C364" s="20"/>
      <c r="D364" s="20"/>
      <c r="E364" s="20"/>
      <c r="F364" s="20"/>
      <c r="G364" s="20"/>
      <c r="H364" s="20"/>
      <c r="I364" s="20"/>
      <c r="J364" s="20"/>
      <c r="K364" s="20"/>
    </row>
    <row r="365" spans="2:11" ht="15">
      <c r="B365" s="15"/>
      <c r="C365" s="20"/>
      <c r="D365" s="20"/>
      <c r="E365" s="20"/>
      <c r="F365" s="20"/>
      <c r="G365" s="20"/>
      <c r="H365" s="20"/>
      <c r="I365" s="20"/>
      <c r="J365" s="20"/>
      <c r="K365" s="20"/>
    </row>
    <row r="366" spans="2:11" ht="15">
      <c r="B366" s="16"/>
      <c r="C366" s="20"/>
      <c r="D366" s="20"/>
      <c r="E366" s="20"/>
      <c r="F366" s="20"/>
      <c r="G366" s="20"/>
      <c r="H366" s="20"/>
      <c r="I366" s="20"/>
      <c r="J366" s="20"/>
      <c r="K366" s="20"/>
    </row>
    <row r="367" spans="2:11" ht="15">
      <c r="B367" s="16"/>
      <c r="C367" s="20"/>
      <c r="D367" s="20"/>
      <c r="E367" s="20"/>
      <c r="F367" s="20"/>
      <c r="G367" s="20"/>
      <c r="H367" s="20"/>
      <c r="I367" s="20"/>
      <c r="J367" s="20"/>
      <c r="K367" s="20"/>
    </row>
    <row r="368" spans="2:11" ht="15">
      <c r="B368" s="17"/>
      <c r="C368" s="20"/>
      <c r="D368" s="20"/>
      <c r="E368" s="20"/>
      <c r="F368" s="20"/>
      <c r="G368" s="20"/>
      <c r="H368" s="20"/>
      <c r="I368" s="20"/>
      <c r="J368" s="20"/>
      <c r="K368" s="20"/>
    </row>
    <row r="369" spans="2:11" ht="15">
      <c r="B369" s="17"/>
      <c r="C369" s="20"/>
      <c r="D369" s="20"/>
      <c r="E369" s="20"/>
      <c r="F369" s="20"/>
      <c r="G369" s="20"/>
      <c r="H369" s="20"/>
      <c r="I369" s="20"/>
      <c r="J369" s="20"/>
      <c r="K369" s="20"/>
    </row>
    <row r="370" spans="2:11" ht="15">
      <c r="B370" s="33"/>
      <c r="C370" s="3"/>
      <c r="D370" s="3"/>
      <c r="E370" s="3"/>
      <c r="F370" s="3"/>
      <c r="G370" s="3"/>
      <c r="H370" s="3"/>
      <c r="I370" s="3"/>
      <c r="J370" s="3"/>
      <c r="K370" s="3"/>
    </row>
    <row r="371" spans="2:11" ht="15">
      <c r="B371" s="18"/>
      <c r="C371" s="20"/>
      <c r="D371" s="20"/>
      <c r="E371" s="20"/>
      <c r="F371" s="20"/>
      <c r="G371" s="20"/>
      <c r="H371" s="20"/>
      <c r="I371" s="20"/>
      <c r="J371" s="20"/>
      <c r="K371" s="20"/>
    </row>
    <row r="372" spans="2:11" ht="15">
      <c r="B372" s="18"/>
      <c r="C372" s="20"/>
      <c r="D372" s="20"/>
      <c r="E372" s="20"/>
      <c r="F372" s="20"/>
      <c r="G372" s="20"/>
      <c r="H372" s="20"/>
      <c r="I372" s="20"/>
      <c r="J372" s="20"/>
      <c r="K372" s="20"/>
    </row>
    <row r="373" spans="2:11" ht="15">
      <c r="B373" s="13"/>
      <c r="C373" s="20"/>
      <c r="D373" s="20"/>
      <c r="E373" s="20"/>
      <c r="F373" s="20"/>
      <c r="G373" s="20"/>
      <c r="H373" s="20"/>
      <c r="I373" s="20"/>
      <c r="J373" s="20"/>
      <c r="K373" s="20"/>
    </row>
    <row r="374" spans="2:11" ht="15">
      <c r="B374" s="13"/>
      <c r="C374" s="20"/>
      <c r="D374" s="20"/>
      <c r="E374" s="20"/>
      <c r="F374" s="20"/>
      <c r="G374" s="20"/>
      <c r="H374" s="20"/>
      <c r="I374" s="20"/>
      <c r="J374" s="20"/>
      <c r="K374" s="20"/>
    </row>
    <row r="375" spans="2:11" ht="15">
      <c r="B375" s="13"/>
      <c r="C375" s="20"/>
      <c r="D375" s="20"/>
      <c r="E375" s="20"/>
      <c r="F375" s="20"/>
      <c r="G375" s="20"/>
      <c r="H375" s="20"/>
      <c r="I375" s="20"/>
      <c r="J375" s="20"/>
      <c r="K375" s="20"/>
    </row>
    <row r="376" spans="2:11" ht="15">
      <c r="B376" s="13"/>
      <c r="C376" s="20"/>
      <c r="D376" s="20"/>
      <c r="E376" s="20"/>
      <c r="F376" s="20"/>
      <c r="G376" s="20"/>
      <c r="H376" s="20"/>
      <c r="I376" s="20"/>
      <c r="J376" s="20"/>
      <c r="K376" s="20"/>
    </row>
    <row r="377" spans="2:11" ht="15">
      <c r="B377" s="13"/>
      <c r="C377" s="20"/>
      <c r="D377" s="20"/>
      <c r="E377" s="20"/>
      <c r="F377" s="20"/>
      <c r="G377" s="20"/>
      <c r="H377" s="20"/>
      <c r="I377" s="20"/>
      <c r="J377" s="20"/>
      <c r="K377" s="20"/>
    </row>
    <row r="378" spans="2:11" ht="15">
      <c r="B378" s="13"/>
      <c r="C378" s="20"/>
      <c r="D378" s="20"/>
      <c r="E378" s="20"/>
      <c r="F378" s="20"/>
      <c r="G378" s="20"/>
      <c r="H378" s="20"/>
      <c r="I378" s="20"/>
      <c r="J378" s="20"/>
      <c r="K378" s="20"/>
    </row>
    <row r="379" spans="2:11" ht="15">
      <c r="B379" s="13"/>
      <c r="C379" s="20"/>
      <c r="D379" s="20"/>
      <c r="E379" s="20"/>
      <c r="F379" s="20"/>
      <c r="G379" s="20"/>
      <c r="H379" s="20"/>
      <c r="I379" s="20"/>
      <c r="J379" s="20"/>
      <c r="K379" s="20"/>
    </row>
    <row r="380" spans="2:11" ht="15">
      <c r="B380" s="13"/>
      <c r="C380" s="20"/>
      <c r="D380" s="20"/>
      <c r="E380" s="20"/>
      <c r="F380" s="20"/>
      <c r="G380" s="20"/>
      <c r="H380" s="20"/>
      <c r="I380" s="20"/>
      <c r="J380" s="20"/>
      <c r="K380" s="20"/>
    </row>
    <row r="381" spans="2:11" ht="15">
      <c r="B381" s="13"/>
      <c r="C381" s="20"/>
      <c r="D381" s="20"/>
      <c r="E381" s="20"/>
      <c r="F381" s="20"/>
      <c r="G381" s="20"/>
      <c r="H381" s="20"/>
      <c r="I381" s="20"/>
      <c r="J381" s="20"/>
      <c r="K381" s="20"/>
    </row>
    <row r="382" spans="2:11" ht="15">
      <c r="B382" s="13"/>
      <c r="C382" s="20"/>
      <c r="D382" s="20"/>
      <c r="E382" s="20"/>
      <c r="F382" s="20"/>
      <c r="G382" s="20"/>
      <c r="H382" s="20"/>
      <c r="I382" s="20"/>
      <c r="J382" s="20"/>
      <c r="K382" s="20"/>
    </row>
    <row r="383" spans="2:11" ht="15">
      <c r="B383" s="13"/>
      <c r="C383" s="20"/>
      <c r="D383" s="20"/>
      <c r="E383" s="20"/>
      <c r="F383" s="20"/>
      <c r="G383" s="20"/>
      <c r="H383" s="20"/>
      <c r="I383" s="20"/>
      <c r="J383" s="20"/>
      <c r="K383" s="20"/>
    </row>
    <row r="386" spans="2:11" ht="18.75">
      <c r="B386" s="733"/>
      <c r="C386" s="733"/>
      <c r="D386" s="733"/>
      <c r="E386" s="733"/>
      <c r="F386" s="733"/>
      <c r="G386" s="733"/>
      <c r="H386" s="733"/>
      <c r="I386" s="733"/>
      <c r="J386" s="733"/>
      <c r="K386" s="26"/>
    </row>
    <row r="387" spans="2:11" ht="15">
      <c r="B387" s="27"/>
      <c r="C387" s="20"/>
      <c r="D387" s="20"/>
      <c r="E387" s="20"/>
      <c r="F387" s="20"/>
      <c r="G387" s="20"/>
      <c r="H387" s="20"/>
      <c r="I387" s="20"/>
      <c r="J387" s="20"/>
      <c r="K387" s="20"/>
    </row>
    <row r="388" spans="2:11">
      <c r="B388" s="735"/>
      <c r="C388" s="735"/>
      <c r="D388" s="735"/>
      <c r="E388" s="735"/>
      <c r="F388" s="735"/>
      <c r="G388" s="735"/>
      <c r="H388" s="735"/>
      <c r="I388" s="735"/>
      <c r="J388" s="735"/>
      <c r="K388" s="26"/>
    </row>
    <row r="389" spans="2:11" ht="18" customHeight="1">
      <c r="B389" s="735"/>
      <c r="C389" s="735"/>
      <c r="D389" s="735"/>
      <c r="E389" s="735"/>
      <c r="F389" s="735"/>
      <c r="G389" s="735"/>
      <c r="H389" s="735"/>
      <c r="I389" s="735"/>
      <c r="J389" s="735"/>
      <c r="K389" s="26"/>
    </row>
    <row r="390" spans="2:11" ht="15">
      <c r="B390" s="28"/>
      <c r="C390" s="29"/>
      <c r="D390" s="29"/>
      <c r="E390" s="29"/>
      <c r="F390" s="20"/>
      <c r="G390" s="20"/>
      <c r="H390" s="20"/>
      <c r="I390" s="20"/>
      <c r="J390" s="20"/>
      <c r="K390" s="20"/>
    </row>
    <row r="391" spans="2:11" ht="15">
      <c r="B391" s="30"/>
      <c r="C391" s="20"/>
      <c r="D391" s="23"/>
      <c r="E391" s="23"/>
      <c r="F391" s="23"/>
      <c r="G391" s="20"/>
      <c r="H391" s="20"/>
      <c r="I391" s="20"/>
      <c r="J391" s="20"/>
      <c r="K391" s="20"/>
    </row>
    <row r="392" spans="2:11" ht="15">
      <c r="B392" s="21"/>
      <c r="C392" s="23"/>
      <c r="D392" s="23"/>
      <c r="E392" s="23"/>
      <c r="F392" s="23"/>
      <c r="G392" s="23"/>
      <c r="H392" s="23"/>
      <c r="I392" s="23"/>
      <c r="J392" s="23"/>
      <c r="K392" s="23"/>
    </row>
    <row r="393" spans="2:11" ht="15">
      <c r="B393" s="13"/>
      <c r="C393" s="23"/>
      <c r="D393" s="23"/>
      <c r="E393" s="32"/>
      <c r="F393" s="32"/>
      <c r="G393" s="32"/>
      <c r="H393" s="32"/>
      <c r="I393" s="32"/>
      <c r="J393" s="32"/>
      <c r="K393" s="32"/>
    </row>
    <row r="394" spans="2:11" ht="15">
      <c r="B394" s="13"/>
      <c r="C394" s="23"/>
      <c r="D394" s="20"/>
      <c r="E394" s="20"/>
      <c r="F394" s="20"/>
      <c r="G394" s="20"/>
      <c r="H394" s="20"/>
      <c r="I394" s="20"/>
      <c r="J394" s="20"/>
      <c r="K394" s="20"/>
    </row>
    <row r="395" spans="2:11" ht="15">
      <c r="B395" s="33"/>
      <c r="C395" s="20"/>
      <c r="D395" s="20"/>
      <c r="E395" s="20"/>
      <c r="F395" s="20"/>
      <c r="G395" s="20"/>
      <c r="H395" s="20"/>
      <c r="I395" s="20"/>
      <c r="J395" s="20"/>
      <c r="K395" s="20"/>
    </row>
    <row r="396" spans="2:11" ht="15">
      <c r="B396" s="35"/>
      <c r="C396" s="20"/>
      <c r="D396" s="20"/>
      <c r="E396" s="20"/>
      <c r="F396" s="20"/>
      <c r="G396" s="20"/>
      <c r="H396" s="20"/>
      <c r="I396" s="20"/>
      <c r="J396" s="20"/>
      <c r="K396" s="20"/>
    </row>
    <row r="397" spans="2:11" ht="15">
      <c r="B397" s="35"/>
      <c r="C397" s="20"/>
      <c r="D397" s="20"/>
      <c r="E397" s="20"/>
      <c r="F397" s="20"/>
      <c r="G397" s="20"/>
      <c r="H397" s="20"/>
      <c r="I397" s="20"/>
      <c r="J397" s="20"/>
      <c r="K397" s="20"/>
    </row>
    <row r="398" spans="2:11" ht="15">
      <c r="B398" s="35"/>
      <c r="C398" s="20"/>
      <c r="D398" s="20"/>
      <c r="E398" s="20"/>
      <c r="F398" s="20"/>
      <c r="G398" s="20"/>
      <c r="H398" s="20"/>
      <c r="I398" s="20"/>
      <c r="J398" s="20"/>
      <c r="K398" s="20"/>
    </row>
    <row r="399" spans="2:11" ht="15">
      <c r="B399" s="35"/>
      <c r="C399" s="20"/>
      <c r="D399" s="20"/>
      <c r="E399" s="20"/>
      <c r="F399" s="20"/>
      <c r="G399" s="20"/>
      <c r="H399" s="20"/>
      <c r="I399" s="20"/>
      <c r="J399" s="20"/>
      <c r="K399" s="20"/>
    </row>
    <row r="400" spans="2:11" ht="15">
      <c r="B400" s="35"/>
      <c r="C400" s="20"/>
      <c r="D400" s="20"/>
      <c r="E400" s="20"/>
      <c r="F400" s="20"/>
      <c r="G400" s="20"/>
      <c r="H400" s="20"/>
      <c r="I400" s="20"/>
      <c r="J400" s="20"/>
      <c r="K400" s="20"/>
    </row>
    <row r="401" spans="2:11" ht="15">
      <c r="B401" s="16"/>
      <c r="C401" s="20"/>
      <c r="D401" s="20"/>
      <c r="E401" s="20"/>
      <c r="F401" s="20"/>
      <c r="G401" s="20"/>
      <c r="H401" s="20"/>
      <c r="I401" s="20"/>
      <c r="J401" s="20"/>
      <c r="K401" s="20"/>
    </row>
    <row r="402" spans="2:11" ht="15">
      <c r="B402" s="13"/>
      <c r="C402" s="20"/>
      <c r="D402" s="20"/>
      <c r="E402" s="20"/>
      <c r="F402" s="20"/>
      <c r="G402" s="20"/>
      <c r="H402" s="20"/>
      <c r="I402" s="20"/>
      <c r="J402" s="20"/>
      <c r="K402" s="20"/>
    </row>
    <row r="403" spans="2:11" ht="15">
      <c r="B403" s="33"/>
      <c r="C403" s="20"/>
      <c r="D403" s="20"/>
      <c r="E403" s="20"/>
      <c r="F403" s="20"/>
      <c r="G403" s="20"/>
      <c r="H403" s="20"/>
      <c r="I403" s="20"/>
      <c r="J403" s="20"/>
      <c r="K403" s="20"/>
    </row>
    <row r="404" spans="2:11" ht="15">
      <c r="B404" s="15"/>
      <c r="C404" s="20"/>
      <c r="D404" s="20"/>
      <c r="E404" s="20"/>
      <c r="F404" s="20"/>
      <c r="G404" s="20"/>
      <c r="H404" s="20"/>
      <c r="I404" s="20"/>
      <c r="J404" s="20"/>
      <c r="K404" s="20"/>
    </row>
    <row r="405" spans="2:11" ht="15">
      <c r="B405" s="15"/>
      <c r="C405" s="20"/>
      <c r="D405" s="20"/>
      <c r="E405" s="20"/>
      <c r="F405" s="20"/>
      <c r="G405" s="20"/>
      <c r="H405" s="20"/>
      <c r="I405" s="20"/>
      <c r="J405" s="20"/>
      <c r="K405" s="20"/>
    </row>
    <row r="406" spans="2:11" ht="15">
      <c r="B406" s="15"/>
      <c r="C406" s="20"/>
      <c r="D406" s="20"/>
      <c r="E406" s="20"/>
      <c r="F406" s="20"/>
      <c r="G406" s="20"/>
      <c r="H406" s="20"/>
      <c r="I406" s="20"/>
      <c r="J406" s="20"/>
      <c r="K406" s="20"/>
    </row>
    <row r="407" spans="2:11" ht="15">
      <c r="B407" s="15"/>
      <c r="C407" s="20"/>
      <c r="D407" s="20"/>
      <c r="E407" s="20"/>
      <c r="F407" s="20"/>
      <c r="G407" s="20"/>
      <c r="H407" s="20"/>
      <c r="I407" s="20"/>
      <c r="J407" s="20"/>
      <c r="K407" s="20"/>
    </row>
    <row r="408" spans="2:11" ht="15">
      <c r="B408" s="15"/>
      <c r="C408" s="20"/>
      <c r="D408" s="20"/>
      <c r="E408" s="20"/>
      <c r="F408" s="20"/>
      <c r="G408" s="20"/>
      <c r="H408" s="20"/>
      <c r="I408" s="20"/>
      <c r="J408" s="20"/>
      <c r="K408" s="20"/>
    </row>
    <row r="409" spans="2:11" ht="15">
      <c r="B409" s="15"/>
      <c r="C409" s="20"/>
      <c r="D409" s="20"/>
      <c r="E409" s="20"/>
      <c r="F409" s="20"/>
      <c r="G409" s="20"/>
      <c r="H409" s="20"/>
      <c r="I409" s="20"/>
      <c r="J409" s="20"/>
      <c r="K409" s="20"/>
    </row>
    <row r="410" spans="2:11" ht="15">
      <c r="B410" s="15"/>
      <c r="C410" s="20"/>
      <c r="D410" s="20"/>
      <c r="E410" s="20"/>
      <c r="F410" s="20"/>
      <c r="G410" s="20"/>
      <c r="H410" s="20"/>
      <c r="I410" s="20"/>
      <c r="J410" s="20"/>
      <c r="K410" s="20"/>
    </row>
    <row r="411" spans="2:11" ht="15">
      <c r="B411" s="15"/>
      <c r="C411" s="20"/>
      <c r="D411" s="20"/>
      <c r="E411" s="20"/>
      <c r="F411" s="20"/>
      <c r="G411" s="20"/>
      <c r="H411" s="20"/>
      <c r="I411" s="20"/>
      <c r="J411" s="20"/>
      <c r="K411" s="20"/>
    </row>
    <row r="412" spans="2:11" ht="15">
      <c r="B412" s="15"/>
      <c r="C412" s="20"/>
      <c r="D412" s="20"/>
      <c r="E412" s="20"/>
      <c r="F412" s="20"/>
      <c r="G412" s="20"/>
      <c r="H412" s="20"/>
      <c r="I412" s="20"/>
      <c r="J412" s="20"/>
      <c r="K412" s="20"/>
    </row>
    <row r="413" spans="2:11" ht="15">
      <c r="B413" s="16"/>
      <c r="C413" s="20"/>
      <c r="D413" s="20"/>
      <c r="E413" s="20"/>
      <c r="F413" s="20"/>
      <c r="G413" s="20"/>
      <c r="H413" s="20"/>
      <c r="I413" s="20"/>
      <c r="J413" s="20"/>
      <c r="K413" s="20"/>
    </row>
    <row r="414" spans="2:11" ht="15">
      <c r="B414" s="16"/>
      <c r="C414" s="20"/>
      <c r="D414" s="20"/>
      <c r="E414" s="20"/>
      <c r="F414" s="20"/>
      <c r="G414" s="20"/>
      <c r="H414" s="20"/>
      <c r="I414" s="20"/>
      <c r="J414" s="20"/>
      <c r="K414" s="20"/>
    </row>
    <row r="415" spans="2:11" ht="15">
      <c r="B415" s="17"/>
      <c r="C415" s="20"/>
      <c r="D415" s="20"/>
      <c r="E415" s="20"/>
      <c r="F415" s="20"/>
      <c r="G415" s="20"/>
      <c r="H415" s="20"/>
      <c r="I415" s="20"/>
      <c r="J415" s="20"/>
      <c r="K415" s="20"/>
    </row>
    <row r="416" spans="2:11" ht="15">
      <c r="B416" s="17"/>
      <c r="C416" s="20"/>
      <c r="D416" s="20"/>
      <c r="E416" s="20"/>
      <c r="F416" s="20"/>
      <c r="G416" s="20"/>
      <c r="H416" s="20"/>
      <c r="I416" s="20"/>
      <c r="J416" s="20"/>
      <c r="K416" s="20"/>
    </row>
    <row r="417" spans="2:11" ht="15">
      <c r="B417" s="33"/>
      <c r="C417" s="20"/>
      <c r="D417" s="20"/>
      <c r="E417" s="20"/>
      <c r="F417" s="20"/>
      <c r="G417" s="20"/>
      <c r="H417" s="20"/>
      <c r="I417" s="20"/>
      <c r="J417" s="20"/>
      <c r="K417" s="20"/>
    </row>
    <row r="418" spans="2:11" ht="15">
      <c r="B418" s="18"/>
      <c r="C418" s="20"/>
      <c r="D418" s="20"/>
      <c r="E418" s="20"/>
      <c r="F418" s="20"/>
      <c r="G418" s="20"/>
      <c r="H418" s="20"/>
      <c r="I418" s="20"/>
      <c r="J418" s="20"/>
      <c r="K418" s="20"/>
    </row>
    <row r="419" spans="2:11" ht="15">
      <c r="B419" s="18"/>
      <c r="C419" s="20"/>
      <c r="D419" s="20"/>
      <c r="E419" s="20"/>
      <c r="F419" s="20"/>
      <c r="G419" s="20"/>
      <c r="H419" s="20"/>
      <c r="I419" s="20"/>
      <c r="J419" s="20"/>
      <c r="K419" s="20"/>
    </row>
    <row r="420" spans="2:11" ht="15">
      <c r="B420" s="13"/>
      <c r="C420" s="20"/>
      <c r="D420" s="20"/>
      <c r="E420" s="20"/>
      <c r="F420" s="20"/>
      <c r="G420" s="20"/>
      <c r="H420" s="20"/>
      <c r="I420" s="20"/>
      <c r="J420" s="20"/>
      <c r="K420" s="20"/>
    </row>
    <row r="421" spans="2:11" ht="15">
      <c r="B421" s="13"/>
      <c r="C421" s="20"/>
      <c r="D421" s="20"/>
      <c r="E421" s="20"/>
      <c r="F421" s="20"/>
      <c r="G421" s="20"/>
      <c r="H421" s="20"/>
      <c r="I421" s="20"/>
      <c r="J421" s="20"/>
      <c r="K421" s="20"/>
    </row>
    <row r="422" spans="2:11" ht="15">
      <c r="B422" s="13"/>
      <c r="C422" s="20"/>
      <c r="D422" s="20"/>
      <c r="E422" s="20"/>
      <c r="F422" s="20"/>
      <c r="G422" s="20"/>
      <c r="H422" s="20"/>
      <c r="I422" s="20"/>
      <c r="J422" s="20"/>
      <c r="K422" s="20"/>
    </row>
    <row r="423" spans="2:11" ht="15">
      <c r="B423" s="13"/>
      <c r="C423" s="20"/>
      <c r="D423" s="20"/>
      <c r="E423" s="20"/>
      <c r="F423" s="20"/>
      <c r="G423" s="20"/>
      <c r="H423" s="20"/>
      <c r="I423" s="20"/>
      <c r="J423" s="20"/>
      <c r="K423" s="20"/>
    </row>
    <row r="424" spans="2:11" ht="15">
      <c r="B424" s="13"/>
      <c r="C424" s="20"/>
      <c r="D424" s="20"/>
      <c r="E424" s="20"/>
      <c r="F424" s="20"/>
      <c r="G424" s="20"/>
      <c r="H424" s="20"/>
      <c r="I424" s="20"/>
      <c r="J424" s="20"/>
      <c r="K424" s="20"/>
    </row>
    <row r="425" spans="2:11" ht="15">
      <c r="B425" s="13"/>
      <c r="C425" s="20"/>
      <c r="D425" s="20"/>
      <c r="E425" s="20"/>
      <c r="F425" s="20"/>
      <c r="G425" s="20"/>
      <c r="H425" s="20"/>
      <c r="I425" s="20"/>
      <c r="J425" s="20"/>
      <c r="K425" s="20"/>
    </row>
    <row r="426" spans="2:11" ht="15">
      <c r="B426" s="13"/>
      <c r="C426" s="20"/>
      <c r="D426" s="20"/>
      <c r="E426" s="20"/>
      <c r="F426" s="20"/>
      <c r="G426" s="20"/>
      <c r="H426" s="20"/>
      <c r="I426" s="20"/>
      <c r="J426" s="20"/>
      <c r="K426" s="20"/>
    </row>
    <row r="427" spans="2:11" ht="15">
      <c r="B427" s="13"/>
      <c r="C427" s="20"/>
      <c r="D427" s="20"/>
      <c r="E427" s="20"/>
      <c r="F427" s="20"/>
      <c r="G427" s="20"/>
      <c r="H427" s="20"/>
      <c r="I427" s="20"/>
      <c r="J427" s="20"/>
      <c r="K427" s="20"/>
    </row>
    <row r="428" spans="2:11" ht="15">
      <c r="B428" s="13"/>
      <c r="C428" s="20"/>
      <c r="D428" s="20"/>
      <c r="E428" s="20"/>
      <c r="F428" s="20"/>
      <c r="G428" s="20"/>
      <c r="H428" s="20"/>
      <c r="I428" s="20"/>
      <c r="J428" s="20"/>
      <c r="K428" s="20"/>
    </row>
    <row r="429" spans="2:11" ht="15">
      <c r="B429" s="13"/>
      <c r="C429" s="20"/>
      <c r="D429" s="20"/>
      <c r="E429" s="20"/>
      <c r="F429" s="20"/>
      <c r="G429" s="20"/>
      <c r="H429" s="20"/>
      <c r="I429" s="20"/>
      <c r="J429" s="20"/>
      <c r="K429" s="20"/>
    </row>
    <row r="432" spans="2:11" ht="18.75">
      <c r="B432" s="733"/>
      <c r="C432" s="733"/>
      <c r="D432" s="733"/>
      <c r="E432" s="733"/>
      <c r="F432" s="733"/>
      <c r="G432" s="733"/>
      <c r="H432" s="733"/>
      <c r="I432" s="733"/>
      <c r="J432" s="733"/>
      <c r="K432" s="26"/>
    </row>
    <row r="433" spans="2:11" ht="15">
      <c r="B433" s="27"/>
      <c r="C433" s="20"/>
      <c r="D433" s="20"/>
      <c r="E433" s="20"/>
      <c r="F433" s="20"/>
      <c r="G433" s="20"/>
      <c r="H433" s="20"/>
      <c r="I433" s="20"/>
      <c r="J433" s="20"/>
      <c r="K433" s="20"/>
    </row>
    <row r="434" spans="2:11">
      <c r="B434" s="739"/>
      <c r="C434" s="739"/>
      <c r="D434" s="739"/>
      <c r="E434" s="739"/>
      <c r="F434" s="739"/>
      <c r="G434" s="739"/>
      <c r="H434" s="739"/>
      <c r="I434" s="739"/>
      <c r="J434" s="739"/>
      <c r="K434" s="26"/>
    </row>
    <row r="435" spans="2:11">
      <c r="B435" s="739"/>
      <c r="C435" s="739"/>
      <c r="D435" s="739"/>
      <c r="E435" s="739"/>
      <c r="F435" s="739"/>
      <c r="G435" s="739"/>
      <c r="H435" s="739"/>
      <c r="I435" s="739"/>
      <c r="J435" s="739"/>
      <c r="K435" s="26"/>
    </row>
    <row r="436" spans="2:11" ht="18.75" customHeight="1">
      <c r="B436" s="739"/>
      <c r="C436" s="739"/>
      <c r="D436" s="739"/>
      <c r="E436" s="739"/>
      <c r="F436" s="739"/>
      <c r="G436" s="739"/>
      <c r="H436" s="739"/>
      <c r="I436" s="739"/>
      <c r="J436" s="739"/>
      <c r="K436" s="26"/>
    </row>
    <row r="437" spans="2:11" ht="15">
      <c r="B437" s="30"/>
      <c r="C437" s="20"/>
      <c r="D437" s="23"/>
      <c r="E437" s="23"/>
      <c r="F437" s="23"/>
      <c r="G437" s="20"/>
      <c r="H437" s="20"/>
      <c r="I437" s="20"/>
      <c r="J437" s="20"/>
      <c r="K437" s="20"/>
    </row>
    <row r="438" spans="2:11" ht="15">
      <c r="B438" s="21"/>
      <c r="C438" s="23"/>
      <c r="D438" s="23"/>
      <c r="E438" s="23"/>
      <c r="F438" s="23"/>
      <c r="G438" s="23"/>
      <c r="H438" s="23"/>
      <c r="I438" s="23"/>
      <c r="J438" s="23"/>
      <c r="K438" s="23"/>
    </row>
    <row r="439" spans="2:11" ht="15">
      <c r="B439" s="13"/>
      <c r="C439" s="23"/>
      <c r="D439" s="23"/>
      <c r="E439" s="32"/>
      <c r="F439" s="32"/>
      <c r="G439" s="32"/>
      <c r="H439" s="32"/>
      <c r="I439" s="32"/>
      <c r="J439" s="32"/>
      <c r="K439" s="32"/>
    </row>
    <row r="440" spans="2:11" ht="15">
      <c r="B440" s="13"/>
      <c r="C440" s="23"/>
      <c r="D440" s="20"/>
      <c r="E440" s="20"/>
      <c r="F440" s="20"/>
      <c r="G440" s="20"/>
      <c r="H440" s="20"/>
      <c r="I440" s="20"/>
      <c r="J440" s="20"/>
      <c r="K440" s="20"/>
    </row>
    <row r="441" spans="2:11" ht="15">
      <c r="B441" s="33"/>
      <c r="C441" s="20"/>
      <c r="D441" s="20"/>
      <c r="E441" s="20"/>
      <c r="F441" s="20"/>
      <c r="G441" s="20"/>
      <c r="H441" s="20"/>
      <c r="I441" s="20"/>
      <c r="J441" s="20"/>
      <c r="K441" s="20"/>
    </row>
    <row r="442" spans="2:11" ht="15">
      <c r="B442" s="35"/>
      <c r="C442" s="20"/>
      <c r="D442" s="20"/>
      <c r="E442" s="20"/>
      <c r="F442" s="20"/>
      <c r="G442" s="20"/>
      <c r="H442" s="20"/>
      <c r="I442" s="20"/>
      <c r="J442" s="20"/>
      <c r="K442" s="20"/>
    </row>
    <row r="443" spans="2:11" ht="15">
      <c r="B443" s="35"/>
      <c r="C443" s="20"/>
      <c r="D443" s="20"/>
      <c r="E443" s="20"/>
      <c r="F443" s="20"/>
      <c r="G443" s="20"/>
      <c r="H443" s="20"/>
      <c r="I443" s="20"/>
      <c r="J443" s="20"/>
      <c r="K443" s="20"/>
    </row>
    <row r="444" spans="2:11" ht="15">
      <c r="B444" s="16"/>
      <c r="C444" s="20"/>
      <c r="D444" s="20"/>
      <c r="E444" s="20"/>
      <c r="F444" s="20"/>
      <c r="G444" s="20"/>
      <c r="H444" s="20"/>
      <c r="I444" s="20"/>
      <c r="J444" s="20"/>
      <c r="K444" s="20"/>
    </row>
    <row r="445" spans="2:11" ht="15">
      <c r="B445" s="13"/>
      <c r="C445" s="20"/>
      <c r="D445" s="20"/>
      <c r="E445" s="20"/>
      <c r="F445" s="20"/>
      <c r="G445" s="20"/>
      <c r="H445" s="20"/>
      <c r="I445" s="20"/>
      <c r="J445" s="20"/>
      <c r="K445" s="20"/>
    </row>
    <row r="446" spans="2:11" ht="15">
      <c r="B446" s="33"/>
      <c r="C446" s="20"/>
      <c r="D446" s="20"/>
      <c r="E446" s="20"/>
      <c r="F446" s="20"/>
      <c r="G446" s="20"/>
      <c r="H446" s="20"/>
      <c r="I446" s="20"/>
      <c r="J446" s="20"/>
      <c r="K446" s="20"/>
    </row>
    <row r="447" spans="2:11" ht="15">
      <c r="B447" s="15"/>
      <c r="C447" s="20"/>
      <c r="D447" s="20"/>
      <c r="E447" s="20"/>
      <c r="F447" s="20"/>
      <c r="G447" s="20"/>
      <c r="H447" s="20"/>
      <c r="I447" s="20"/>
      <c r="J447" s="20"/>
      <c r="K447" s="20"/>
    </row>
    <row r="448" spans="2:11" ht="15">
      <c r="B448" s="15"/>
      <c r="C448" s="20"/>
      <c r="D448" s="20"/>
      <c r="E448" s="20"/>
      <c r="F448" s="20"/>
      <c r="G448" s="20"/>
      <c r="H448" s="20"/>
      <c r="I448" s="20"/>
      <c r="J448" s="20"/>
      <c r="K448" s="20"/>
    </row>
    <row r="449" spans="2:11" ht="15">
      <c r="B449" s="16"/>
      <c r="C449" s="20"/>
      <c r="D449" s="20"/>
      <c r="E449" s="20"/>
      <c r="F449" s="20"/>
      <c r="G449" s="20"/>
      <c r="H449" s="20"/>
      <c r="I449" s="20"/>
      <c r="J449" s="20"/>
      <c r="K449" s="20"/>
    </row>
    <row r="450" spans="2:11" ht="15">
      <c r="B450" s="16"/>
      <c r="C450" s="20"/>
      <c r="D450" s="20"/>
      <c r="E450" s="20"/>
      <c r="F450" s="20"/>
      <c r="G450" s="20"/>
      <c r="H450" s="20"/>
      <c r="I450" s="20"/>
      <c r="J450" s="20"/>
      <c r="K450" s="20"/>
    </row>
    <row r="451" spans="2:11" ht="15">
      <c r="B451" s="17"/>
      <c r="C451" s="20"/>
      <c r="D451" s="20"/>
      <c r="E451" s="20"/>
      <c r="F451" s="20"/>
      <c r="G451" s="20"/>
      <c r="H451" s="20"/>
      <c r="I451" s="20"/>
      <c r="J451" s="20"/>
      <c r="K451" s="20"/>
    </row>
    <row r="452" spans="2:11" ht="15">
      <c r="B452" s="17"/>
      <c r="C452" s="20"/>
      <c r="D452" s="20"/>
      <c r="E452" s="20"/>
      <c r="F452" s="20"/>
      <c r="G452" s="20"/>
      <c r="H452" s="20"/>
      <c r="I452" s="20"/>
      <c r="J452" s="20"/>
      <c r="K452" s="20"/>
    </row>
    <row r="453" spans="2:11" ht="15">
      <c r="B453" s="33"/>
      <c r="C453" s="20"/>
      <c r="D453" s="20"/>
      <c r="E453" s="20"/>
      <c r="F453" s="20"/>
      <c r="G453" s="20"/>
      <c r="H453" s="20"/>
      <c r="I453" s="20"/>
      <c r="J453" s="20"/>
      <c r="K453" s="20"/>
    </row>
    <row r="454" spans="2:11" ht="15">
      <c r="B454" s="18"/>
      <c r="C454" s="20"/>
      <c r="D454" s="20"/>
      <c r="E454" s="20"/>
      <c r="F454" s="20"/>
      <c r="G454" s="20"/>
      <c r="H454" s="20"/>
      <c r="I454" s="20"/>
      <c r="J454" s="20"/>
      <c r="K454" s="20"/>
    </row>
    <row r="455" spans="2:11" ht="15">
      <c r="B455" s="18"/>
      <c r="C455" s="20"/>
      <c r="D455" s="20"/>
      <c r="E455" s="20"/>
      <c r="F455" s="20"/>
      <c r="G455" s="20"/>
      <c r="H455" s="20"/>
      <c r="I455" s="20"/>
      <c r="J455" s="20"/>
      <c r="K455" s="20"/>
    </row>
    <row r="456" spans="2:11" ht="15">
      <c r="B456" s="13"/>
      <c r="C456" s="20"/>
      <c r="D456" s="20"/>
      <c r="E456" s="20"/>
      <c r="F456" s="20"/>
      <c r="G456" s="20"/>
      <c r="H456" s="20"/>
      <c r="I456" s="20"/>
      <c r="J456" s="20"/>
      <c r="K456" s="20"/>
    </row>
    <row r="457" spans="2:11" ht="15">
      <c r="B457" s="13"/>
      <c r="C457" s="20"/>
      <c r="D457" s="20"/>
      <c r="E457" s="20"/>
      <c r="F457" s="20"/>
      <c r="G457" s="20"/>
      <c r="H457" s="20"/>
      <c r="I457" s="20"/>
      <c r="J457" s="20"/>
      <c r="K457" s="20"/>
    </row>
    <row r="458" spans="2:11" ht="15">
      <c r="B458" s="13"/>
      <c r="C458" s="20"/>
      <c r="D458" s="20"/>
      <c r="E458" s="20"/>
      <c r="F458" s="20"/>
      <c r="G458" s="20"/>
      <c r="H458" s="20"/>
      <c r="I458" s="20"/>
      <c r="J458" s="20"/>
      <c r="K458" s="20"/>
    </row>
    <row r="459" spans="2:11" ht="15">
      <c r="B459" s="13"/>
      <c r="C459" s="20"/>
      <c r="D459" s="20"/>
      <c r="E459" s="20"/>
      <c r="F459" s="20"/>
      <c r="G459" s="20"/>
      <c r="H459" s="20"/>
      <c r="I459" s="20"/>
      <c r="J459" s="20"/>
      <c r="K459" s="20"/>
    </row>
    <row r="460" spans="2:11" ht="15">
      <c r="B460" s="13"/>
      <c r="C460" s="20"/>
      <c r="D460" s="20"/>
      <c r="E460" s="20"/>
      <c r="F460" s="20"/>
      <c r="G460" s="20"/>
      <c r="H460" s="20"/>
      <c r="I460" s="20"/>
      <c r="J460" s="20"/>
      <c r="K460" s="20"/>
    </row>
    <row r="461" spans="2:11" ht="15">
      <c r="B461" s="13"/>
      <c r="C461" s="20"/>
      <c r="D461" s="20"/>
      <c r="E461" s="20"/>
      <c r="F461" s="20"/>
      <c r="G461" s="20"/>
      <c r="H461" s="20"/>
      <c r="I461" s="20"/>
      <c r="J461" s="20"/>
      <c r="K461" s="20"/>
    </row>
    <row r="462" spans="2:11" ht="15">
      <c r="B462" s="13"/>
      <c r="C462" s="20"/>
      <c r="D462" s="20"/>
      <c r="E462" s="20"/>
      <c r="F462" s="20"/>
      <c r="G462" s="20"/>
      <c r="H462" s="20"/>
      <c r="I462" s="20"/>
      <c r="J462" s="20"/>
      <c r="K462" s="20"/>
    </row>
    <row r="463" spans="2:11" ht="15">
      <c r="B463" s="13"/>
      <c r="C463" s="20"/>
      <c r="D463" s="20"/>
      <c r="E463" s="20"/>
      <c r="F463" s="20"/>
      <c r="G463" s="20"/>
      <c r="H463" s="20"/>
      <c r="I463" s="20"/>
      <c r="J463" s="20"/>
      <c r="K463" s="20"/>
    </row>
    <row r="464" spans="2:11" ht="15">
      <c r="B464" s="13"/>
      <c r="C464" s="20"/>
      <c r="D464" s="20"/>
      <c r="E464" s="20"/>
      <c r="F464" s="20"/>
      <c r="G464" s="20"/>
      <c r="H464" s="20"/>
      <c r="I464" s="20"/>
      <c r="J464" s="20"/>
      <c r="K464" s="20"/>
    </row>
    <row r="465" spans="2:11" ht="15">
      <c r="B465" s="13"/>
      <c r="C465" s="20"/>
      <c r="D465" s="20"/>
      <c r="E465" s="20"/>
      <c r="F465" s="20"/>
      <c r="G465" s="20"/>
      <c r="H465" s="20"/>
      <c r="I465" s="20"/>
      <c r="J465" s="20"/>
      <c r="K465" s="20"/>
    </row>
    <row r="468" spans="2:11" ht="18.75">
      <c r="B468" s="733"/>
      <c r="C468" s="733"/>
      <c r="D468" s="733"/>
      <c r="E468" s="733"/>
      <c r="F468" s="733"/>
      <c r="G468" s="733"/>
      <c r="H468" s="733"/>
      <c r="I468" s="733"/>
      <c r="J468" s="733"/>
      <c r="K468" s="26"/>
    </row>
    <row r="469" spans="2:11" ht="15">
      <c r="B469" s="27"/>
      <c r="C469" s="20"/>
      <c r="D469" s="20"/>
      <c r="E469" s="20"/>
      <c r="F469" s="20"/>
      <c r="G469" s="20"/>
      <c r="H469" s="20"/>
      <c r="I469" s="20"/>
      <c r="J469" s="20"/>
      <c r="K469" s="20"/>
    </row>
    <row r="470" spans="2:11">
      <c r="B470" s="735"/>
      <c r="C470" s="735"/>
      <c r="D470" s="735"/>
      <c r="E470" s="735"/>
      <c r="F470" s="735"/>
      <c r="G470" s="735"/>
      <c r="H470" s="735"/>
      <c r="I470" s="735"/>
      <c r="J470" s="735"/>
      <c r="K470" s="26"/>
    </row>
    <row r="471" spans="2:11">
      <c r="B471" s="735"/>
      <c r="C471" s="735"/>
      <c r="D471" s="735"/>
      <c r="E471" s="735"/>
      <c r="F471" s="735"/>
      <c r="G471" s="735"/>
      <c r="H471" s="735"/>
      <c r="I471" s="735"/>
      <c r="J471" s="735"/>
      <c r="K471" s="26"/>
    </row>
    <row r="472" spans="2:11">
      <c r="B472" s="735"/>
      <c r="C472" s="735"/>
      <c r="D472" s="735"/>
      <c r="E472" s="735"/>
      <c r="F472" s="735"/>
      <c r="G472" s="735"/>
      <c r="H472" s="735"/>
      <c r="I472" s="735"/>
      <c r="J472" s="735"/>
      <c r="K472" s="26"/>
    </row>
    <row r="473" spans="2:11" ht="23.25" customHeight="1">
      <c r="B473" s="735"/>
      <c r="C473" s="735"/>
      <c r="D473" s="735"/>
      <c r="E473" s="735"/>
      <c r="F473" s="735"/>
      <c r="G473" s="735"/>
      <c r="H473" s="735"/>
      <c r="I473" s="735"/>
      <c r="J473" s="735"/>
      <c r="K473" s="26"/>
    </row>
    <row r="474" spans="2:11" ht="15">
      <c r="B474" s="30"/>
      <c r="C474" s="20"/>
      <c r="D474" s="23"/>
      <c r="E474" s="23"/>
      <c r="F474" s="23"/>
      <c r="G474" s="20"/>
      <c r="H474" s="20"/>
      <c r="I474" s="20"/>
      <c r="J474" s="20"/>
      <c r="K474" s="20"/>
    </row>
    <row r="475" spans="2:11" ht="15">
      <c r="B475" s="21"/>
      <c r="C475" s="23"/>
      <c r="D475" s="23"/>
      <c r="E475" s="23"/>
      <c r="F475" s="23"/>
      <c r="G475" s="23"/>
      <c r="H475" s="23"/>
      <c r="I475" s="23"/>
      <c r="J475" s="23"/>
      <c r="K475" s="23"/>
    </row>
    <row r="476" spans="2:11" ht="15">
      <c r="B476" s="13"/>
      <c r="C476" s="23"/>
      <c r="D476" s="23"/>
      <c r="E476" s="32"/>
      <c r="F476" s="32"/>
      <c r="G476" s="32"/>
      <c r="H476" s="32"/>
      <c r="I476" s="32"/>
      <c r="J476" s="32"/>
      <c r="K476" s="32"/>
    </row>
    <row r="477" spans="2:11" ht="15">
      <c r="B477" s="13"/>
      <c r="C477" s="23"/>
      <c r="D477" s="20"/>
      <c r="E477" s="20"/>
      <c r="F477" s="20"/>
      <c r="G477" s="20"/>
      <c r="H477" s="20"/>
      <c r="I477" s="20"/>
      <c r="J477" s="20"/>
      <c r="K477" s="20"/>
    </row>
    <row r="478" spans="2:11" ht="15">
      <c r="B478" s="33"/>
      <c r="C478" s="20"/>
      <c r="D478" s="20"/>
      <c r="E478" s="20"/>
      <c r="F478" s="20"/>
      <c r="G478" s="20"/>
      <c r="H478" s="20"/>
      <c r="I478" s="20"/>
      <c r="J478" s="20"/>
      <c r="K478" s="20"/>
    </row>
    <row r="479" spans="2:11" ht="15">
      <c r="B479" s="34"/>
      <c r="C479" s="20"/>
      <c r="D479" s="20"/>
      <c r="E479" s="20"/>
      <c r="F479" s="20"/>
      <c r="G479" s="20"/>
      <c r="H479" s="20"/>
      <c r="I479" s="20"/>
      <c r="J479" s="20"/>
      <c r="K479" s="20"/>
    </row>
    <row r="480" spans="2:11" ht="15">
      <c r="B480" s="35"/>
      <c r="C480" s="20"/>
      <c r="D480" s="20"/>
      <c r="E480" s="20"/>
      <c r="F480" s="20"/>
      <c r="G480" s="20"/>
      <c r="H480" s="20"/>
      <c r="I480" s="20"/>
      <c r="J480" s="20"/>
      <c r="K480" s="20"/>
    </row>
    <row r="481" spans="2:11" ht="15">
      <c r="B481" s="35"/>
      <c r="C481" s="20"/>
      <c r="D481" s="20"/>
      <c r="E481" s="20"/>
      <c r="F481" s="20"/>
      <c r="G481" s="20"/>
      <c r="H481" s="20"/>
      <c r="I481" s="20"/>
      <c r="J481" s="20"/>
      <c r="K481" s="20"/>
    </row>
    <row r="482" spans="2:11" ht="15">
      <c r="B482" s="35"/>
      <c r="C482" s="20"/>
      <c r="D482" s="20"/>
      <c r="E482" s="20"/>
      <c r="F482" s="20"/>
      <c r="G482" s="20"/>
      <c r="H482" s="20"/>
      <c r="I482" s="20"/>
      <c r="J482" s="20"/>
      <c r="K482" s="20"/>
    </row>
    <row r="483" spans="2:11" ht="15">
      <c r="B483" s="35"/>
      <c r="C483" s="20"/>
      <c r="D483" s="20"/>
      <c r="E483" s="20"/>
      <c r="F483" s="20"/>
      <c r="G483" s="20"/>
      <c r="H483" s="20"/>
      <c r="I483" s="20"/>
      <c r="J483" s="20"/>
      <c r="K483" s="20"/>
    </row>
    <row r="484" spans="2:11" ht="15">
      <c r="B484" s="35"/>
      <c r="C484" s="20"/>
      <c r="D484" s="20"/>
      <c r="E484" s="20"/>
      <c r="F484" s="20"/>
      <c r="G484" s="20"/>
      <c r="H484" s="20"/>
      <c r="I484" s="20"/>
      <c r="J484" s="20"/>
      <c r="K484" s="20"/>
    </row>
    <row r="485" spans="2:11" ht="15">
      <c r="B485" s="16"/>
      <c r="C485" s="20"/>
      <c r="D485" s="20"/>
      <c r="E485" s="20"/>
      <c r="F485" s="20"/>
      <c r="G485" s="20"/>
      <c r="H485" s="20"/>
      <c r="I485" s="20"/>
      <c r="J485" s="20"/>
      <c r="K485" s="20"/>
    </row>
    <row r="486" spans="2:11" ht="15">
      <c r="B486" s="13"/>
      <c r="C486" s="20"/>
      <c r="D486" s="20"/>
      <c r="E486" s="20"/>
      <c r="F486" s="20"/>
      <c r="G486" s="20"/>
      <c r="H486" s="20"/>
      <c r="I486" s="20"/>
      <c r="J486" s="20"/>
      <c r="K486" s="20"/>
    </row>
    <row r="487" spans="2:11" ht="15">
      <c r="B487" s="33"/>
      <c r="C487" s="20"/>
      <c r="D487" s="20"/>
      <c r="E487" s="20"/>
      <c r="F487" s="20"/>
      <c r="G487" s="20"/>
      <c r="H487" s="20"/>
      <c r="I487" s="20"/>
      <c r="J487" s="20"/>
      <c r="K487" s="20"/>
    </row>
    <row r="488" spans="2:11" ht="15">
      <c r="B488" s="15"/>
      <c r="C488" s="20"/>
      <c r="D488" s="20"/>
      <c r="E488" s="20"/>
      <c r="F488" s="20"/>
      <c r="G488" s="20"/>
      <c r="H488" s="20"/>
      <c r="I488" s="20"/>
      <c r="J488" s="20"/>
      <c r="K488" s="20"/>
    </row>
    <row r="489" spans="2:11" ht="15">
      <c r="B489" s="15"/>
      <c r="C489" s="20"/>
      <c r="D489" s="20"/>
      <c r="E489" s="20"/>
      <c r="F489" s="20"/>
      <c r="G489" s="20"/>
      <c r="H489" s="20"/>
      <c r="I489" s="20"/>
      <c r="J489" s="20"/>
      <c r="K489" s="20"/>
    </row>
    <row r="490" spans="2:11" ht="15">
      <c r="B490" s="15"/>
      <c r="C490" s="20"/>
      <c r="D490" s="20"/>
      <c r="E490" s="20"/>
      <c r="F490" s="20"/>
      <c r="G490" s="20"/>
      <c r="H490" s="20"/>
      <c r="I490" s="20"/>
      <c r="J490" s="20"/>
      <c r="K490" s="20"/>
    </row>
    <row r="491" spans="2:11" ht="15">
      <c r="B491" s="15"/>
      <c r="C491" s="20"/>
      <c r="D491" s="20"/>
      <c r="E491" s="20"/>
      <c r="F491" s="20"/>
      <c r="G491" s="20"/>
      <c r="H491" s="20"/>
      <c r="I491" s="20"/>
      <c r="J491" s="20"/>
      <c r="K491" s="20"/>
    </row>
    <row r="492" spans="2:11" ht="15">
      <c r="B492" s="15"/>
      <c r="C492" s="20"/>
      <c r="D492" s="20"/>
      <c r="E492" s="20"/>
      <c r="F492" s="20"/>
      <c r="G492" s="20"/>
      <c r="H492" s="20"/>
      <c r="I492" s="20"/>
      <c r="J492" s="20"/>
      <c r="K492" s="20"/>
    </row>
    <row r="493" spans="2:11" ht="15">
      <c r="B493" s="16"/>
      <c r="C493" s="20"/>
      <c r="D493" s="20"/>
      <c r="E493" s="20"/>
      <c r="F493" s="20"/>
      <c r="G493" s="20"/>
      <c r="H493" s="20"/>
      <c r="I493" s="20"/>
      <c r="J493" s="20"/>
      <c r="K493" s="20"/>
    </row>
    <row r="494" spans="2:11" ht="15">
      <c r="B494" s="16"/>
      <c r="C494" s="20"/>
      <c r="D494" s="20"/>
      <c r="E494" s="20"/>
      <c r="F494" s="20"/>
      <c r="G494" s="20"/>
      <c r="H494" s="20"/>
      <c r="I494" s="20"/>
      <c r="J494" s="20"/>
      <c r="K494" s="20"/>
    </row>
    <row r="495" spans="2:11" ht="15">
      <c r="B495" s="17"/>
      <c r="C495" s="20"/>
      <c r="D495" s="20"/>
      <c r="E495" s="20"/>
      <c r="F495" s="20"/>
      <c r="G495" s="20"/>
      <c r="H495" s="20"/>
      <c r="I495" s="20"/>
      <c r="J495" s="20"/>
      <c r="K495" s="20"/>
    </row>
    <row r="496" spans="2:11" ht="15">
      <c r="B496" s="17"/>
      <c r="C496" s="20"/>
      <c r="D496" s="20"/>
      <c r="E496" s="20"/>
      <c r="F496" s="20"/>
      <c r="G496" s="20"/>
      <c r="H496" s="20"/>
      <c r="I496" s="20"/>
      <c r="J496" s="20"/>
      <c r="K496" s="20"/>
    </row>
    <row r="497" spans="2:11" ht="15">
      <c r="B497" s="33"/>
      <c r="C497" s="20"/>
      <c r="D497" s="20"/>
      <c r="E497" s="20"/>
      <c r="F497" s="20"/>
      <c r="G497" s="20"/>
      <c r="H497" s="20"/>
      <c r="I497" s="20"/>
      <c r="J497" s="20"/>
      <c r="K497" s="20"/>
    </row>
    <row r="498" spans="2:11" ht="15">
      <c r="B498" s="18"/>
      <c r="C498" s="20"/>
      <c r="D498" s="20"/>
      <c r="E498" s="20"/>
      <c r="F498" s="20"/>
      <c r="G498" s="20"/>
      <c r="H498" s="20"/>
      <c r="I498" s="20"/>
      <c r="J498" s="20"/>
      <c r="K498" s="20"/>
    </row>
    <row r="499" spans="2:11" ht="15">
      <c r="B499" s="18"/>
      <c r="C499" s="20"/>
      <c r="D499" s="20"/>
      <c r="E499" s="20"/>
      <c r="F499" s="20"/>
      <c r="G499" s="20"/>
      <c r="H499" s="20"/>
      <c r="I499" s="20"/>
      <c r="J499" s="20"/>
      <c r="K499" s="20"/>
    </row>
    <row r="500" spans="2:11" ht="15">
      <c r="B500" s="13"/>
      <c r="C500" s="20"/>
      <c r="D500" s="20"/>
      <c r="E500" s="20"/>
      <c r="F500" s="20"/>
      <c r="G500" s="20"/>
      <c r="H500" s="20"/>
      <c r="I500" s="20"/>
      <c r="J500" s="20"/>
      <c r="K500" s="20"/>
    </row>
    <row r="501" spans="2:11" ht="15">
      <c r="B501" s="13"/>
      <c r="C501" s="20"/>
      <c r="D501" s="20"/>
      <c r="E501" s="20"/>
      <c r="F501" s="20"/>
      <c r="G501" s="20"/>
      <c r="H501" s="20"/>
      <c r="I501" s="20"/>
      <c r="J501" s="20"/>
      <c r="K501" s="20"/>
    </row>
    <row r="502" spans="2:11" ht="15">
      <c r="B502" s="13"/>
      <c r="C502" s="20"/>
      <c r="D502" s="20"/>
      <c r="E502" s="20"/>
      <c r="F502" s="20"/>
      <c r="G502" s="20"/>
      <c r="H502" s="20"/>
      <c r="I502" s="20"/>
      <c r="J502" s="20"/>
      <c r="K502" s="20"/>
    </row>
    <row r="503" spans="2:11" ht="15">
      <c r="B503" s="13"/>
      <c r="C503" s="20"/>
      <c r="D503" s="20"/>
      <c r="E503" s="20"/>
      <c r="F503" s="20"/>
      <c r="G503" s="20"/>
      <c r="H503" s="20"/>
      <c r="I503" s="20"/>
      <c r="J503" s="20"/>
      <c r="K503" s="20"/>
    </row>
    <row r="504" spans="2:11" ht="15">
      <c r="B504" s="13"/>
      <c r="C504" s="20"/>
      <c r="D504" s="20"/>
      <c r="E504" s="20"/>
      <c r="F504" s="20"/>
      <c r="G504" s="20"/>
      <c r="H504" s="20"/>
      <c r="I504" s="20"/>
      <c r="J504" s="20"/>
      <c r="K504" s="20"/>
    </row>
    <row r="505" spans="2:11" ht="15">
      <c r="B505" s="13"/>
      <c r="C505" s="20"/>
      <c r="D505" s="20"/>
      <c r="E505" s="20"/>
      <c r="F505" s="20"/>
      <c r="G505" s="20"/>
      <c r="H505" s="20"/>
      <c r="I505" s="20"/>
      <c r="J505" s="20"/>
      <c r="K505" s="20"/>
    </row>
    <row r="506" spans="2:11" ht="15">
      <c r="B506" s="13"/>
      <c r="C506" s="20"/>
      <c r="D506" s="20"/>
      <c r="E506" s="20"/>
      <c r="F506" s="20"/>
      <c r="G506" s="20"/>
      <c r="H506" s="20"/>
      <c r="I506" s="20"/>
      <c r="J506" s="20"/>
      <c r="K506" s="20"/>
    </row>
    <row r="507" spans="2:11" ht="15">
      <c r="B507" s="13"/>
      <c r="C507" s="20"/>
      <c r="D507" s="20"/>
      <c r="E507" s="20"/>
      <c r="F507" s="20"/>
      <c r="G507" s="20"/>
      <c r="H507" s="20"/>
      <c r="I507" s="20"/>
      <c r="J507" s="20"/>
      <c r="K507" s="20"/>
    </row>
    <row r="508" spans="2:11" ht="15">
      <c r="B508" s="13"/>
      <c r="C508" s="20"/>
      <c r="D508" s="20"/>
      <c r="E508" s="20"/>
      <c r="F508" s="20"/>
      <c r="G508" s="20"/>
      <c r="H508" s="20"/>
      <c r="I508" s="20"/>
      <c r="J508" s="20"/>
      <c r="K508" s="20"/>
    </row>
    <row r="509" spans="2:11" ht="15">
      <c r="B509" s="13"/>
      <c r="C509" s="20"/>
      <c r="D509" s="20"/>
      <c r="E509" s="20"/>
      <c r="F509" s="20"/>
      <c r="G509" s="20"/>
      <c r="H509" s="20"/>
      <c r="I509" s="20"/>
      <c r="J509" s="20"/>
      <c r="K509" s="20"/>
    </row>
    <row r="510" spans="2:11" ht="15">
      <c r="B510" s="13"/>
      <c r="C510" s="20"/>
      <c r="D510" s="20"/>
      <c r="E510" s="20"/>
      <c r="F510" s="20"/>
      <c r="G510" s="20"/>
      <c r="H510" s="20"/>
      <c r="I510" s="20"/>
      <c r="J510" s="20"/>
      <c r="K510" s="20"/>
    </row>
    <row r="513" spans="2:11" ht="18.75">
      <c r="B513" s="733"/>
      <c r="C513" s="733"/>
      <c r="D513" s="733"/>
      <c r="E513" s="733"/>
      <c r="F513" s="733"/>
      <c r="G513" s="733"/>
      <c r="H513" s="733"/>
      <c r="I513" s="733"/>
      <c r="J513" s="733"/>
      <c r="K513" s="26"/>
    </row>
    <row r="514" spans="2:11" ht="15">
      <c r="B514" s="27"/>
      <c r="C514" s="20"/>
      <c r="D514" s="20"/>
      <c r="E514" s="20"/>
      <c r="F514" s="20"/>
      <c r="G514" s="20"/>
      <c r="H514" s="20"/>
      <c r="I514" s="20"/>
      <c r="J514" s="20"/>
      <c r="K514" s="20"/>
    </row>
    <row r="515" spans="2:11">
      <c r="B515" s="735"/>
      <c r="C515" s="735"/>
      <c r="D515" s="735"/>
      <c r="E515" s="735"/>
      <c r="F515" s="735"/>
      <c r="G515" s="735"/>
      <c r="H515" s="735"/>
      <c r="I515" s="735"/>
      <c r="J515" s="735"/>
      <c r="K515" s="26"/>
    </row>
    <row r="516" spans="2:11">
      <c r="B516" s="735"/>
      <c r="C516" s="735"/>
      <c r="D516" s="735"/>
      <c r="E516" s="735"/>
      <c r="F516" s="735"/>
      <c r="G516" s="735"/>
      <c r="H516" s="735"/>
      <c r="I516" s="735"/>
      <c r="J516" s="735"/>
      <c r="K516" s="26"/>
    </row>
    <row r="517" spans="2:11">
      <c r="B517" s="735"/>
      <c r="C517" s="735"/>
      <c r="D517" s="735"/>
      <c r="E517" s="735"/>
      <c r="F517" s="735"/>
      <c r="G517" s="735"/>
      <c r="H517" s="735"/>
      <c r="I517" s="735"/>
      <c r="J517" s="735"/>
      <c r="K517" s="26"/>
    </row>
    <row r="518" spans="2:11">
      <c r="B518" s="735"/>
      <c r="C518" s="735"/>
      <c r="D518" s="735"/>
      <c r="E518" s="735"/>
      <c r="F518" s="735"/>
      <c r="G518" s="735"/>
      <c r="H518" s="735"/>
      <c r="I518" s="735"/>
      <c r="J518" s="735"/>
      <c r="K518" s="26"/>
    </row>
    <row r="519" spans="2:11" ht="15">
      <c r="B519" s="28"/>
      <c r="C519" s="29"/>
      <c r="D519" s="29"/>
      <c r="E519" s="29"/>
      <c r="F519" s="29"/>
      <c r="G519" s="29"/>
      <c r="H519" s="20"/>
      <c r="I519" s="20"/>
      <c r="J519" s="20"/>
      <c r="K519" s="20"/>
    </row>
    <row r="520" spans="2:11" ht="15">
      <c r="B520" s="30"/>
      <c r="C520" s="20"/>
      <c r="D520" s="23"/>
      <c r="E520" s="23"/>
      <c r="F520" s="23"/>
      <c r="G520" s="20"/>
      <c r="H520" s="20"/>
      <c r="I520" s="20"/>
      <c r="J520" s="20"/>
      <c r="K520" s="20"/>
    </row>
    <row r="521" spans="2:11" ht="15">
      <c r="B521" s="21"/>
      <c r="C521" s="23"/>
      <c r="D521" s="23"/>
      <c r="E521" s="23"/>
      <c r="F521" s="23"/>
      <c r="G521" s="23"/>
      <c r="H521" s="23"/>
      <c r="I521" s="23"/>
      <c r="J521" s="23"/>
      <c r="K521" s="23"/>
    </row>
    <row r="522" spans="2:11" ht="15">
      <c r="B522" s="13"/>
      <c r="C522" s="23"/>
      <c r="D522" s="23"/>
      <c r="E522" s="32"/>
      <c r="F522" s="32"/>
      <c r="G522" s="32"/>
      <c r="H522" s="32"/>
      <c r="I522" s="32"/>
      <c r="J522" s="32"/>
      <c r="K522" s="32"/>
    </row>
    <row r="523" spans="2:11" ht="15">
      <c r="B523" s="13"/>
      <c r="C523" s="23"/>
      <c r="D523" s="20"/>
      <c r="E523" s="20"/>
      <c r="F523" s="20"/>
      <c r="G523" s="20"/>
      <c r="H523" s="20"/>
      <c r="I523" s="20"/>
      <c r="J523" s="20"/>
      <c r="K523" s="20"/>
    </row>
    <row r="524" spans="2:11" ht="15">
      <c r="B524" s="33"/>
      <c r="C524" s="20"/>
      <c r="D524" s="20"/>
      <c r="E524" s="20"/>
      <c r="F524" s="20"/>
      <c r="G524" s="20"/>
      <c r="H524" s="20"/>
      <c r="I524" s="20"/>
      <c r="J524" s="20"/>
      <c r="K524" s="20"/>
    </row>
    <row r="525" spans="2:11" ht="15">
      <c r="B525" s="35"/>
      <c r="C525" s="20"/>
      <c r="D525" s="20"/>
      <c r="E525" s="20"/>
      <c r="F525" s="20"/>
      <c r="G525" s="20"/>
      <c r="H525" s="20"/>
      <c r="I525" s="20"/>
      <c r="J525" s="20"/>
      <c r="K525" s="20"/>
    </row>
    <row r="526" spans="2:11" ht="15">
      <c r="B526" s="35"/>
      <c r="C526" s="20"/>
      <c r="D526" s="20"/>
      <c r="E526" s="20"/>
      <c r="F526" s="20"/>
      <c r="G526" s="20"/>
      <c r="H526" s="20"/>
      <c r="I526" s="20"/>
      <c r="J526" s="20"/>
      <c r="K526" s="20"/>
    </row>
    <row r="527" spans="2:11" ht="15">
      <c r="B527" s="16"/>
      <c r="C527" s="20"/>
      <c r="D527" s="20"/>
      <c r="E527" s="20"/>
      <c r="F527" s="20"/>
      <c r="G527" s="20"/>
      <c r="H527" s="20"/>
      <c r="I527" s="20"/>
      <c r="J527" s="20"/>
      <c r="K527" s="20"/>
    </row>
    <row r="528" spans="2:11" ht="15">
      <c r="B528" s="13"/>
      <c r="C528" s="20"/>
      <c r="D528" s="20"/>
      <c r="E528" s="20"/>
      <c r="F528" s="20"/>
      <c r="G528" s="20"/>
      <c r="H528" s="20"/>
      <c r="I528" s="20"/>
      <c r="J528" s="20"/>
      <c r="K528" s="20"/>
    </row>
    <row r="529" spans="2:11" ht="15">
      <c r="B529" s="33"/>
      <c r="C529" s="20"/>
      <c r="D529" s="20"/>
      <c r="E529" s="20"/>
      <c r="F529" s="20"/>
      <c r="G529" s="20"/>
      <c r="H529" s="20"/>
      <c r="I529" s="20"/>
      <c r="J529" s="20"/>
      <c r="K529" s="20"/>
    </row>
    <row r="530" spans="2:11" ht="15">
      <c r="B530" s="15"/>
      <c r="C530" s="20"/>
      <c r="D530" s="20"/>
      <c r="E530" s="20"/>
      <c r="F530" s="20"/>
      <c r="G530" s="20"/>
      <c r="H530" s="20"/>
      <c r="I530" s="20"/>
      <c r="J530" s="20"/>
      <c r="K530" s="20"/>
    </row>
    <row r="531" spans="2:11" ht="15">
      <c r="B531" s="15"/>
      <c r="C531" s="20"/>
      <c r="D531" s="20"/>
      <c r="E531" s="20"/>
      <c r="F531" s="20"/>
      <c r="G531" s="20"/>
      <c r="H531" s="20"/>
      <c r="I531" s="20"/>
      <c r="J531" s="20"/>
      <c r="K531" s="20"/>
    </row>
    <row r="532" spans="2:11" ht="15">
      <c r="B532" s="15"/>
      <c r="C532" s="20"/>
      <c r="D532" s="20"/>
      <c r="E532" s="20"/>
      <c r="F532" s="20"/>
      <c r="G532" s="20"/>
      <c r="H532" s="20"/>
      <c r="I532" s="20"/>
      <c r="J532" s="20"/>
      <c r="K532" s="20"/>
    </row>
    <row r="533" spans="2:11" ht="15">
      <c r="B533" s="15"/>
      <c r="C533" s="20"/>
      <c r="D533" s="20"/>
      <c r="E533" s="20"/>
      <c r="F533" s="20"/>
      <c r="G533" s="20"/>
      <c r="H533" s="20"/>
      <c r="I533" s="20"/>
      <c r="J533" s="20"/>
      <c r="K533" s="20"/>
    </row>
    <row r="534" spans="2:11" ht="15">
      <c r="B534" s="16"/>
      <c r="C534" s="20"/>
      <c r="D534" s="20"/>
      <c r="E534" s="20"/>
      <c r="F534" s="20"/>
      <c r="G534" s="20"/>
      <c r="H534" s="20"/>
      <c r="I534" s="20"/>
      <c r="J534" s="20"/>
      <c r="K534" s="20"/>
    </row>
    <row r="535" spans="2:11" ht="15">
      <c r="B535" s="16"/>
      <c r="C535" s="20"/>
      <c r="D535" s="20"/>
      <c r="E535" s="20"/>
      <c r="F535" s="20"/>
      <c r="G535" s="20"/>
      <c r="H535" s="20"/>
      <c r="I535" s="20"/>
      <c r="J535" s="20"/>
      <c r="K535" s="20"/>
    </row>
    <row r="536" spans="2:11" ht="15">
      <c r="B536" s="17"/>
      <c r="C536" s="20"/>
      <c r="D536" s="20"/>
      <c r="E536" s="20"/>
      <c r="F536" s="20"/>
      <c r="G536" s="20"/>
      <c r="H536" s="20"/>
      <c r="I536" s="20"/>
      <c r="J536" s="20"/>
      <c r="K536" s="20"/>
    </row>
    <row r="537" spans="2:11" ht="15">
      <c r="B537" s="17"/>
      <c r="C537" s="20"/>
      <c r="D537" s="20"/>
      <c r="E537" s="20"/>
      <c r="F537" s="20"/>
      <c r="G537" s="20"/>
      <c r="H537" s="20"/>
      <c r="I537" s="20"/>
      <c r="J537" s="20"/>
      <c r="K537" s="20"/>
    </row>
    <row r="538" spans="2:11" ht="15">
      <c r="B538" s="33"/>
      <c r="C538" s="20"/>
      <c r="D538" s="20"/>
      <c r="E538" s="20"/>
      <c r="F538" s="20"/>
      <c r="G538" s="20"/>
      <c r="H538" s="20"/>
      <c r="I538" s="20"/>
      <c r="J538" s="20"/>
      <c r="K538" s="20"/>
    </row>
    <row r="539" spans="2:11" ht="15">
      <c r="B539" s="18"/>
      <c r="C539" s="20"/>
      <c r="D539" s="20"/>
      <c r="E539" s="20"/>
      <c r="F539" s="20"/>
      <c r="G539" s="20"/>
      <c r="H539" s="20"/>
      <c r="I539" s="20"/>
      <c r="J539" s="20"/>
      <c r="K539" s="20"/>
    </row>
    <row r="540" spans="2:11" ht="15">
      <c r="B540" s="18"/>
      <c r="C540" s="20"/>
      <c r="D540" s="20"/>
      <c r="E540" s="20"/>
      <c r="F540" s="20"/>
      <c r="G540" s="20"/>
      <c r="H540" s="20"/>
      <c r="I540" s="20"/>
      <c r="J540" s="20"/>
      <c r="K540" s="20"/>
    </row>
    <row r="541" spans="2:11" ht="15">
      <c r="B541" s="13"/>
      <c r="C541" s="20"/>
      <c r="D541" s="20"/>
      <c r="E541" s="20"/>
      <c r="F541" s="20"/>
      <c r="G541" s="20"/>
      <c r="H541" s="20"/>
      <c r="I541" s="20"/>
      <c r="J541" s="20"/>
      <c r="K541" s="20"/>
    </row>
    <row r="542" spans="2:11" ht="15">
      <c r="B542" s="13"/>
      <c r="C542" s="20"/>
      <c r="D542" s="20"/>
      <c r="E542" s="20"/>
      <c r="F542" s="20"/>
      <c r="G542" s="20"/>
      <c r="H542" s="20"/>
      <c r="I542" s="20"/>
      <c r="J542" s="20"/>
      <c r="K542" s="20"/>
    </row>
    <row r="543" spans="2:11" ht="15">
      <c r="B543" s="13"/>
      <c r="C543" s="20"/>
      <c r="D543" s="20"/>
      <c r="E543" s="20"/>
      <c r="F543" s="20"/>
      <c r="G543" s="20"/>
      <c r="H543" s="20"/>
      <c r="I543" s="20"/>
      <c r="J543" s="20"/>
      <c r="K543" s="20"/>
    </row>
    <row r="544" spans="2:11" ht="15">
      <c r="B544" s="13"/>
      <c r="C544" s="20"/>
      <c r="D544" s="20"/>
      <c r="E544" s="20"/>
      <c r="F544" s="20"/>
      <c r="G544" s="20"/>
      <c r="H544" s="20"/>
      <c r="I544" s="20"/>
      <c r="J544" s="20"/>
      <c r="K544" s="20"/>
    </row>
    <row r="545" spans="2:11" ht="15">
      <c r="B545" s="13"/>
      <c r="C545" s="20"/>
      <c r="D545" s="20"/>
      <c r="E545" s="20"/>
      <c r="F545" s="20"/>
      <c r="G545" s="20"/>
      <c r="H545" s="20"/>
      <c r="I545" s="20"/>
      <c r="J545" s="20"/>
      <c r="K545" s="20"/>
    </row>
    <row r="546" spans="2:11" ht="15">
      <c r="B546" s="13"/>
      <c r="C546" s="20"/>
      <c r="D546" s="20"/>
      <c r="E546" s="20"/>
      <c r="F546" s="20"/>
      <c r="G546" s="20"/>
      <c r="H546" s="20"/>
      <c r="I546" s="20"/>
      <c r="J546" s="20"/>
      <c r="K546" s="20"/>
    </row>
    <row r="547" spans="2:11" ht="15">
      <c r="B547" s="13"/>
      <c r="C547" s="20"/>
      <c r="D547" s="20"/>
      <c r="E547" s="20"/>
      <c r="F547" s="20"/>
      <c r="G547" s="20"/>
      <c r="H547" s="20"/>
      <c r="I547" s="20"/>
      <c r="J547" s="20"/>
      <c r="K547" s="20"/>
    </row>
    <row r="548" spans="2:11" ht="15">
      <c r="B548" s="13"/>
      <c r="C548" s="20"/>
      <c r="D548" s="20"/>
      <c r="E548" s="20"/>
      <c r="F548" s="20"/>
      <c r="G548" s="20"/>
      <c r="H548" s="20"/>
      <c r="I548" s="20"/>
      <c r="J548" s="20"/>
      <c r="K548" s="20"/>
    </row>
    <row r="549" spans="2:11" ht="15">
      <c r="B549" s="13"/>
      <c r="C549" s="20"/>
      <c r="D549" s="20"/>
      <c r="E549" s="20"/>
      <c r="F549" s="20"/>
      <c r="G549" s="20"/>
      <c r="H549" s="20"/>
      <c r="I549" s="20"/>
      <c r="J549" s="20"/>
      <c r="K549" s="20"/>
    </row>
    <row r="550" spans="2:11" ht="15">
      <c r="B550" s="13"/>
      <c r="C550" s="20"/>
      <c r="D550" s="20"/>
      <c r="E550" s="20"/>
      <c r="F550" s="20"/>
      <c r="G550" s="20"/>
      <c r="H550" s="20"/>
      <c r="I550" s="20"/>
      <c r="J550" s="20"/>
      <c r="K550" s="20"/>
    </row>
    <row r="553" spans="2:11" ht="18.75">
      <c r="B553" s="733"/>
      <c r="C553" s="733"/>
      <c r="D553" s="733"/>
      <c r="E553" s="733"/>
      <c r="F553" s="733"/>
      <c r="G553" s="733"/>
      <c r="H553" s="733"/>
      <c r="I553" s="733"/>
      <c r="J553" s="733"/>
      <c r="K553" s="26"/>
    </row>
    <row r="554" spans="2:11" ht="15">
      <c r="B554" s="27"/>
      <c r="C554" s="20"/>
      <c r="D554" s="20"/>
      <c r="E554" s="20"/>
      <c r="F554" s="20"/>
      <c r="G554" s="20"/>
      <c r="H554" s="20"/>
      <c r="I554" s="20"/>
      <c r="J554" s="20"/>
      <c r="K554" s="20"/>
    </row>
    <row r="555" spans="2:11">
      <c r="B555" s="735"/>
      <c r="C555" s="735"/>
      <c r="D555" s="735"/>
      <c r="E555" s="735"/>
      <c r="F555" s="735"/>
      <c r="G555" s="735"/>
      <c r="H555" s="735"/>
      <c r="I555" s="735"/>
      <c r="J555" s="735"/>
      <c r="K555" s="26"/>
    </row>
    <row r="556" spans="2:11">
      <c r="B556" s="735"/>
      <c r="C556" s="735"/>
      <c r="D556" s="735"/>
      <c r="E556" s="735"/>
      <c r="F556" s="735"/>
      <c r="G556" s="735"/>
      <c r="H556" s="735"/>
      <c r="I556" s="735"/>
      <c r="J556" s="735"/>
      <c r="K556" s="26"/>
    </row>
    <row r="557" spans="2:11">
      <c r="B557" s="735"/>
      <c r="C557" s="735"/>
      <c r="D557" s="735"/>
      <c r="E557" s="735"/>
      <c r="F557" s="735"/>
      <c r="G557" s="735"/>
      <c r="H557" s="735"/>
      <c r="I557" s="735"/>
      <c r="J557" s="735"/>
      <c r="K557" s="26"/>
    </row>
    <row r="558" spans="2:11" ht="15">
      <c r="B558" s="30"/>
      <c r="C558" s="20"/>
      <c r="D558" s="23"/>
      <c r="E558" s="20"/>
      <c r="F558" s="23"/>
      <c r="G558" s="20"/>
      <c r="H558" s="20"/>
      <c r="I558" s="20"/>
      <c r="J558" s="20"/>
      <c r="K558" s="20"/>
    </row>
    <row r="559" spans="2:11" ht="15">
      <c r="B559" s="21"/>
      <c r="C559" s="23"/>
      <c r="D559" s="23"/>
      <c r="E559" s="23"/>
      <c r="F559" s="23"/>
      <c r="G559" s="23"/>
      <c r="H559" s="23"/>
      <c r="I559" s="23"/>
      <c r="J559" s="23"/>
      <c r="K559" s="23"/>
    </row>
    <row r="560" spans="2:11" ht="15">
      <c r="B560" s="13"/>
      <c r="C560" s="23"/>
      <c r="D560" s="23"/>
      <c r="E560" s="32"/>
      <c r="F560" s="32"/>
      <c r="G560" s="32"/>
      <c r="H560" s="32"/>
      <c r="I560" s="32"/>
      <c r="J560" s="32"/>
      <c r="K560" s="32"/>
    </row>
    <row r="561" spans="2:11" ht="15">
      <c r="B561" s="13"/>
      <c r="C561" s="23"/>
      <c r="D561" s="20"/>
      <c r="E561" s="20"/>
      <c r="F561" s="20"/>
      <c r="G561" s="20"/>
      <c r="H561" s="20"/>
      <c r="I561" s="20"/>
      <c r="J561" s="20"/>
      <c r="K561" s="20"/>
    </row>
    <row r="562" spans="2:11" ht="15">
      <c r="B562" s="33"/>
      <c r="C562" s="20"/>
      <c r="D562" s="20"/>
      <c r="E562" s="20"/>
      <c r="F562" s="20"/>
      <c r="G562" s="20"/>
      <c r="H562" s="20"/>
      <c r="I562" s="20"/>
      <c r="J562" s="20"/>
      <c r="K562" s="20"/>
    </row>
    <row r="563" spans="2:11" ht="15">
      <c r="B563" s="34"/>
      <c r="C563" s="20"/>
      <c r="D563" s="20"/>
      <c r="E563" s="20"/>
      <c r="F563" s="20"/>
      <c r="G563" s="20"/>
      <c r="H563" s="20"/>
      <c r="I563" s="20"/>
      <c r="J563" s="20"/>
      <c r="K563" s="20"/>
    </row>
    <row r="564" spans="2:11" ht="15">
      <c r="B564" s="34"/>
      <c r="C564" s="20"/>
      <c r="D564" s="20"/>
      <c r="E564" s="20"/>
      <c r="F564" s="20"/>
      <c r="G564" s="20"/>
      <c r="H564" s="20"/>
      <c r="I564" s="20"/>
      <c r="J564" s="20"/>
      <c r="K564" s="20"/>
    </row>
    <row r="565" spans="2:11" ht="15">
      <c r="B565" s="35"/>
      <c r="C565" s="20"/>
      <c r="D565" s="20"/>
      <c r="E565" s="20"/>
      <c r="F565" s="20"/>
      <c r="G565" s="20"/>
      <c r="H565" s="20"/>
      <c r="I565" s="20"/>
      <c r="J565" s="20"/>
      <c r="K565" s="20"/>
    </row>
    <row r="566" spans="2:11" ht="15">
      <c r="B566" s="35"/>
      <c r="C566" s="20"/>
      <c r="D566" s="20"/>
      <c r="E566" s="20"/>
      <c r="F566" s="20"/>
      <c r="G566" s="20"/>
      <c r="H566" s="20"/>
      <c r="I566" s="20"/>
      <c r="J566" s="20"/>
      <c r="K566" s="20"/>
    </row>
    <row r="567" spans="2:11" ht="15">
      <c r="B567" s="35"/>
      <c r="C567" s="20"/>
      <c r="D567" s="20"/>
      <c r="E567" s="20"/>
      <c r="F567" s="20"/>
      <c r="G567" s="20"/>
      <c r="H567" s="20"/>
      <c r="I567" s="20"/>
      <c r="J567" s="20"/>
      <c r="K567" s="20"/>
    </row>
    <row r="568" spans="2:11" ht="15">
      <c r="B568" s="35"/>
      <c r="C568" s="20"/>
      <c r="D568" s="20"/>
      <c r="E568" s="20"/>
      <c r="F568" s="20"/>
      <c r="G568" s="20"/>
      <c r="H568" s="20"/>
      <c r="I568" s="20"/>
      <c r="J568" s="20"/>
      <c r="K568" s="20"/>
    </row>
    <row r="569" spans="2:11" ht="15">
      <c r="B569" s="35"/>
      <c r="C569" s="20"/>
      <c r="D569" s="20"/>
      <c r="E569" s="20"/>
      <c r="F569" s="20"/>
      <c r="G569" s="20"/>
      <c r="H569" s="20"/>
      <c r="I569" s="20"/>
      <c r="J569" s="20"/>
      <c r="K569" s="20"/>
    </row>
    <row r="570" spans="2:11" ht="15">
      <c r="B570" s="35"/>
      <c r="C570" s="20"/>
      <c r="D570" s="20"/>
      <c r="E570" s="20"/>
      <c r="F570" s="20"/>
      <c r="G570" s="20"/>
      <c r="H570" s="20"/>
      <c r="I570" s="20"/>
      <c r="J570" s="20"/>
      <c r="K570" s="20"/>
    </row>
    <row r="571" spans="2:11" ht="15">
      <c r="B571" s="15"/>
      <c r="C571" s="20"/>
      <c r="D571" s="20"/>
      <c r="E571" s="20"/>
      <c r="F571" s="20"/>
      <c r="G571" s="20"/>
      <c r="H571" s="20"/>
      <c r="I571" s="20"/>
      <c r="J571" s="20"/>
      <c r="K571" s="20"/>
    </row>
    <row r="572" spans="2:11" ht="15">
      <c r="B572" s="16"/>
      <c r="C572" s="20"/>
      <c r="D572" s="20"/>
      <c r="E572" s="20"/>
      <c r="F572" s="20"/>
      <c r="G572" s="20"/>
      <c r="H572" s="20"/>
      <c r="I572" s="20"/>
      <c r="J572" s="20"/>
      <c r="K572" s="20"/>
    </row>
    <row r="573" spans="2:11" ht="15">
      <c r="B573" s="13"/>
      <c r="C573" s="20"/>
      <c r="D573" s="20"/>
      <c r="E573" s="20"/>
      <c r="F573" s="20"/>
      <c r="G573" s="20"/>
      <c r="H573" s="20"/>
      <c r="I573" s="20"/>
      <c r="J573" s="20"/>
      <c r="K573" s="20"/>
    </row>
    <row r="574" spans="2:11" ht="15">
      <c r="B574" s="33"/>
      <c r="C574" s="20"/>
      <c r="D574" s="20"/>
      <c r="E574" s="20"/>
      <c r="F574" s="20"/>
      <c r="G574" s="20"/>
      <c r="H574" s="20"/>
      <c r="I574" s="20"/>
      <c r="J574" s="20"/>
      <c r="K574" s="20"/>
    </row>
    <row r="575" spans="2:11" ht="15">
      <c r="B575" s="15"/>
      <c r="C575" s="20"/>
      <c r="D575" s="20"/>
      <c r="E575" s="20"/>
      <c r="F575" s="20"/>
      <c r="G575" s="20"/>
      <c r="H575" s="20"/>
      <c r="I575" s="20"/>
      <c r="J575" s="20"/>
      <c r="K575" s="20"/>
    </row>
    <row r="576" spans="2:11" ht="15">
      <c r="B576" s="15"/>
      <c r="C576" s="20"/>
      <c r="D576" s="20"/>
      <c r="E576" s="20"/>
      <c r="F576" s="20"/>
      <c r="G576" s="20"/>
      <c r="H576" s="20"/>
      <c r="I576" s="20"/>
      <c r="J576" s="20"/>
      <c r="K576" s="20"/>
    </row>
    <row r="577" spans="2:11" ht="15">
      <c r="B577" s="15"/>
      <c r="C577" s="20"/>
      <c r="D577" s="20"/>
      <c r="E577" s="20"/>
      <c r="F577" s="20"/>
      <c r="G577" s="20"/>
      <c r="H577" s="20"/>
      <c r="I577" s="20"/>
      <c r="J577" s="20"/>
      <c r="K577" s="20"/>
    </row>
    <row r="578" spans="2:11" ht="15">
      <c r="B578" s="15"/>
      <c r="C578" s="20"/>
      <c r="D578" s="20"/>
      <c r="E578" s="20"/>
      <c r="F578" s="20"/>
      <c r="G578" s="20"/>
      <c r="H578" s="20"/>
      <c r="I578" s="20"/>
      <c r="J578" s="20"/>
      <c r="K578" s="20"/>
    </row>
    <row r="579" spans="2:11" ht="15">
      <c r="B579" s="15"/>
      <c r="C579" s="20"/>
      <c r="D579" s="20"/>
      <c r="E579" s="20"/>
      <c r="F579" s="20"/>
      <c r="G579" s="20"/>
      <c r="H579" s="20"/>
      <c r="I579" s="20"/>
      <c r="J579" s="20"/>
      <c r="K579" s="20"/>
    </row>
    <row r="580" spans="2:11" ht="15">
      <c r="B580" s="15"/>
      <c r="C580" s="20"/>
      <c r="D580" s="20"/>
      <c r="E580" s="20"/>
      <c r="F580" s="20"/>
      <c r="G580" s="20"/>
      <c r="H580" s="20"/>
      <c r="I580" s="20"/>
      <c r="J580" s="20"/>
      <c r="K580" s="20"/>
    </row>
    <row r="581" spans="2:11" ht="15">
      <c r="B581" s="15"/>
      <c r="C581" s="20"/>
      <c r="D581" s="20"/>
      <c r="E581" s="20"/>
      <c r="F581" s="20"/>
      <c r="G581" s="20"/>
      <c r="H581" s="20"/>
      <c r="I581" s="20"/>
      <c r="J581" s="20"/>
      <c r="K581" s="20"/>
    </row>
    <row r="582" spans="2:11" ht="15">
      <c r="B582" s="16"/>
      <c r="C582" s="20"/>
      <c r="D582" s="20"/>
      <c r="E582" s="20"/>
      <c r="F582" s="20"/>
      <c r="G582" s="20"/>
      <c r="H582" s="20"/>
      <c r="I582" s="20"/>
      <c r="J582" s="20"/>
      <c r="K582" s="20"/>
    </row>
    <row r="583" spans="2:11" ht="15">
      <c r="B583" s="16"/>
      <c r="C583" s="20"/>
      <c r="D583" s="20"/>
      <c r="E583" s="20"/>
      <c r="F583" s="20"/>
      <c r="G583" s="20"/>
      <c r="H583" s="20"/>
      <c r="I583" s="20"/>
      <c r="J583" s="20"/>
      <c r="K583" s="20"/>
    </row>
    <row r="584" spans="2:11" ht="15">
      <c r="B584" s="17"/>
      <c r="C584" s="20"/>
      <c r="D584" s="20"/>
      <c r="E584" s="20"/>
      <c r="F584" s="20"/>
      <c r="G584" s="20"/>
      <c r="H584" s="20"/>
      <c r="I584" s="20"/>
      <c r="J584" s="20"/>
      <c r="K584" s="20"/>
    </row>
    <row r="585" spans="2:11" ht="15">
      <c r="B585" s="17"/>
      <c r="C585" s="20"/>
      <c r="D585" s="20"/>
      <c r="E585" s="20"/>
      <c r="F585" s="20"/>
      <c r="G585" s="20"/>
      <c r="H585" s="20"/>
      <c r="I585" s="20"/>
      <c r="J585" s="20"/>
      <c r="K585" s="20"/>
    </row>
    <row r="586" spans="2:11" ht="15">
      <c r="B586" s="33"/>
      <c r="C586" s="20"/>
      <c r="D586" s="20"/>
      <c r="E586" s="20"/>
      <c r="F586" s="20"/>
      <c r="G586" s="20"/>
      <c r="H586" s="20"/>
      <c r="I586" s="20"/>
      <c r="J586" s="20"/>
      <c r="K586" s="20"/>
    </row>
    <row r="587" spans="2:11" ht="15">
      <c r="B587" s="18"/>
      <c r="C587" s="20"/>
      <c r="D587" s="20"/>
      <c r="E587" s="20"/>
      <c r="F587" s="20"/>
      <c r="G587" s="20"/>
      <c r="H587" s="20"/>
      <c r="I587" s="20"/>
      <c r="J587" s="20"/>
      <c r="K587" s="20"/>
    </row>
    <row r="588" spans="2:11" ht="15">
      <c r="B588" s="18"/>
      <c r="C588" s="20"/>
      <c r="D588" s="20"/>
      <c r="E588" s="20"/>
      <c r="F588" s="20"/>
      <c r="G588" s="20"/>
      <c r="H588" s="20"/>
      <c r="I588" s="20"/>
      <c r="J588" s="20"/>
      <c r="K588" s="20"/>
    </row>
    <row r="589" spans="2:11" ht="15">
      <c r="B589" s="13"/>
      <c r="C589" s="20"/>
      <c r="D589" s="20"/>
      <c r="E589" s="20"/>
      <c r="F589" s="20"/>
      <c r="G589" s="20"/>
      <c r="H589" s="20"/>
      <c r="I589" s="20"/>
      <c r="J589" s="20"/>
      <c r="K589" s="20"/>
    </row>
    <row r="590" spans="2:11" ht="15">
      <c r="B590" s="13"/>
      <c r="C590" s="20"/>
      <c r="D590" s="20"/>
      <c r="E590" s="20"/>
      <c r="F590" s="20"/>
      <c r="G590" s="20"/>
      <c r="H590" s="20"/>
      <c r="I590" s="20"/>
      <c r="J590" s="20"/>
      <c r="K590" s="20"/>
    </row>
    <row r="591" spans="2:11" ht="15">
      <c r="B591" s="13"/>
      <c r="C591" s="20"/>
      <c r="D591" s="20"/>
      <c r="E591" s="20"/>
      <c r="F591" s="20"/>
      <c r="G591" s="20"/>
      <c r="H591" s="20"/>
      <c r="I591" s="20"/>
      <c r="J591" s="20"/>
      <c r="K591" s="20"/>
    </row>
    <row r="592" spans="2:11" ht="15">
      <c r="B592" s="13"/>
      <c r="C592" s="20"/>
      <c r="D592" s="20"/>
      <c r="E592" s="20"/>
      <c r="F592" s="20"/>
      <c r="G592" s="20"/>
      <c r="H592" s="20"/>
      <c r="I592" s="20"/>
      <c r="J592" s="20"/>
      <c r="K592" s="20"/>
    </row>
    <row r="593" spans="2:11" ht="15">
      <c r="B593" s="13"/>
      <c r="C593" s="20"/>
      <c r="D593" s="20"/>
      <c r="E593" s="20"/>
      <c r="F593" s="20"/>
      <c r="G593" s="20"/>
      <c r="H593" s="20"/>
      <c r="I593" s="20"/>
      <c r="J593" s="20"/>
      <c r="K593" s="20"/>
    </row>
    <row r="594" spans="2:11" ht="15">
      <c r="B594" s="13"/>
      <c r="C594" s="20"/>
      <c r="D594" s="20"/>
      <c r="E594" s="20"/>
      <c r="F594" s="20"/>
      <c r="G594" s="20"/>
      <c r="H594" s="20"/>
      <c r="I594" s="20"/>
      <c r="J594" s="20"/>
      <c r="K594" s="20"/>
    </row>
    <row r="595" spans="2:11" ht="15">
      <c r="B595" s="13"/>
      <c r="C595" s="20"/>
      <c r="D595" s="20"/>
      <c r="E595" s="20"/>
      <c r="F595" s="20"/>
      <c r="G595" s="20"/>
      <c r="H595" s="20"/>
      <c r="I595" s="20"/>
      <c r="J595" s="20"/>
      <c r="K595" s="20"/>
    </row>
    <row r="596" spans="2:11" ht="15">
      <c r="B596" s="13"/>
      <c r="C596" s="20"/>
      <c r="D596" s="20"/>
      <c r="E596" s="20"/>
      <c r="F596" s="20"/>
      <c r="G596" s="20"/>
      <c r="H596" s="20"/>
      <c r="I596" s="20"/>
      <c r="J596" s="20"/>
      <c r="K596" s="20"/>
    </row>
    <row r="597" spans="2:11" ht="15">
      <c r="B597" s="13"/>
      <c r="C597" s="20"/>
      <c r="D597" s="20"/>
      <c r="E597" s="20"/>
      <c r="F597" s="20"/>
      <c r="G597" s="20"/>
      <c r="H597" s="20"/>
      <c r="I597" s="20"/>
      <c r="J597" s="20"/>
      <c r="K597" s="20"/>
    </row>
    <row r="598" spans="2:11" ht="15">
      <c r="B598" s="13"/>
      <c r="C598" s="20"/>
      <c r="D598" s="20"/>
      <c r="E598" s="20"/>
      <c r="F598" s="20"/>
      <c r="G598" s="20"/>
      <c r="H598" s="20"/>
      <c r="I598" s="20"/>
      <c r="J598" s="20"/>
      <c r="K598" s="20"/>
    </row>
    <row r="599" spans="2:11" ht="15">
      <c r="B599" s="13"/>
      <c r="C599" s="20"/>
      <c r="D599" s="20"/>
      <c r="E599" s="20"/>
      <c r="F599" s="20"/>
      <c r="G599" s="20"/>
      <c r="H599" s="20"/>
      <c r="I599" s="20"/>
      <c r="J599" s="20"/>
      <c r="K599" s="20"/>
    </row>
    <row r="600" spans="2:11" ht="15">
      <c r="B600" s="13"/>
      <c r="C600" s="20"/>
      <c r="D600" s="20"/>
      <c r="E600" s="20"/>
      <c r="F600" s="20"/>
      <c r="G600" s="20"/>
      <c r="H600" s="20"/>
      <c r="I600" s="20"/>
      <c r="J600" s="20"/>
      <c r="K600" s="20"/>
    </row>
    <row r="602" spans="2:11" ht="18.75">
      <c r="B602" s="733"/>
      <c r="C602" s="733"/>
      <c r="D602" s="733"/>
      <c r="E602" s="733"/>
      <c r="F602" s="733"/>
      <c r="G602" s="733"/>
      <c r="H602" s="733"/>
      <c r="I602" s="733"/>
      <c r="J602" s="733"/>
      <c r="K602" s="26"/>
    </row>
    <row r="603" spans="2:11" ht="15">
      <c r="B603" s="27"/>
      <c r="C603" s="20"/>
      <c r="D603" s="20"/>
      <c r="E603" s="20"/>
      <c r="F603" s="20"/>
      <c r="G603" s="20"/>
      <c r="H603" s="20"/>
      <c r="I603" s="20"/>
      <c r="J603" s="20"/>
      <c r="K603" s="20"/>
    </row>
    <row r="604" spans="2:11">
      <c r="B604" s="735"/>
      <c r="C604" s="735"/>
      <c r="D604" s="735"/>
      <c r="E604" s="735"/>
      <c r="F604" s="735"/>
      <c r="G604" s="735"/>
      <c r="H604" s="735"/>
      <c r="I604" s="735"/>
      <c r="J604" s="735"/>
      <c r="K604" s="26"/>
    </row>
    <row r="605" spans="2:11">
      <c r="B605" s="735"/>
      <c r="C605" s="735"/>
      <c r="D605" s="735"/>
      <c r="E605" s="735"/>
      <c r="F605" s="735"/>
      <c r="G605" s="735"/>
      <c r="H605" s="735"/>
      <c r="I605" s="735"/>
      <c r="J605" s="735"/>
      <c r="K605" s="26"/>
    </row>
    <row r="606" spans="2:11" ht="15">
      <c r="B606" s="28"/>
      <c r="C606" s="29"/>
      <c r="D606" s="29"/>
      <c r="E606" s="29"/>
      <c r="F606" s="29"/>
      <c r="G606" s="29"/>
      <c r="H606" s="20"/>
      <c r="I606" s="20"/>
      <c r="J606" s="20"/>
      <c r="K606" s="20"/>
    </row>
    <row r="607" spans="2:11" ht="15">
      <c r="B607" s="30"/>
      <c r="C607" s="20"/>
      <c r="D607" s="23"/>
      <c r="E607" s="20"/>
      <c r="F607" s="23"/>
      <c r="G607" s="20"/>
      <c r="H607" s="20"/>
      <c r="I607" s="20"/>
      <c r="J607" s="20"/>
      <c r="K607" s="20"/>
    </row>
    <row r="608" spans="2:11" ht="15">
      <c r="B608" s="21"/>
      <c r="C608" s="23"/>
      <c r="D608" s="31"/>
      <c r="E608" s="23"/>
      <c r="F608" s="23"/>
      <c r="G608" s="23"/>
      <c r="H608" s="23"/>
      <c r="I608" s="23"/>
      <c r="J608" s="23"/>
      <c r="K608" s="23"/>
    </row>
    <row r="609" spans="2:11" ht="15">
      <c r="B609" s="13"/>
      <c r="C609" s="23"/>
      <c r="D609" s="23"/>
      <c r="E609" s="32"/>
      <c r="F609" s="32"/>
      <c r="G609" s="32"/>
      <c r="H609" s="32"/>
      <c r="I609" s="32"/>
      <c r="J609" s="32"/>
      <c r="K609" s="32"/>
    </row>
    <row r="610" spans="2:11" ht="15">
      <c r="B610" s="13"/>
      <c r="C610" s="23"/>
      <c r="D610" s="20"/>
      <c r="E610" s="20"/>
      <c r="F610" s="20"/>
      <c r="G610" s="20"/>
      <c r="H610" s="20"/>
      <c r="I610" s="20"/>
      <c r="J610" s="20"/>
      <c r="K610" s="20"/>
    </row>
    <row r="611" spans="2:11" ht="15">
      <c r="B611" s="33"/>
      <c r="C611" s="20"/>
      <c r="D611" s="20"/>
      <c r="E611" s="20"/>
      <c r="F611" s="20"/>
      <c r="G611" s="20"/>
      <c r="H611" s="20"/>
      <c r="I611" s="20"/>
      <c r="J611" s="20"/>
      <c r="K611" s="20"/>
    </row>
    <row r="612" spans="2:11" ht="15">
      <c r="B612" s="34"/>
      <c r="C612" s="20"/>
      <c r="D612" s="20"/>
      <c r="E612" s="20"/>
      <c r="F612" s="20"/>
      <c r="G612" s="20"/>
      <c r="H612" s="20"/>
      <c r="I612" s="20"/>
      <c r="J612" s="20"/>
      <c r="K612" s="20"/>
    </row>
    <row r="613" spans="2:11" ht="15">
      <c r="B613" s="35"/>
      <c r="C613" s="20"/>
      <c r="D613" s="20"/>
      <c r="E613" s="20"/>
      <c r="F613" s="20"/>
      <c r="G613" s="20"/>
      <c r="H613" s="20"/>
      <c r="I613" s="20"/>
      <c r="J613" s="20"/>
      <c r="K613" s="20"/>
    </row>
    <row r="614" spans="2:11" ht="15">
      <c r="B614" s="15"/>
      <c r="C614" s="20"/>
      <c r="D614" s="20"/>
      <c r="E614" s="20"/>
      <c r="F614" s="20"/>
      <c r="G614" s="20"/>
      <c r="H614" s="20"/>
      <c r="I614" s="20"/>
      <c r="J614" s="20"/>
      <c r="K614" s="20"/>
    </row>
    <row r="615" spans="2:11" ht="15">
      <c r="B615" s="16"/>
      <c r="C615" s="20"/>
      <c r="D615" s="20"/>
      <c r="E615" s="20"/>
      <c r="F615" s="20"/>
      <c r="G615" s="20"/>
      <c r="H615" s="20"/>
      <c r="I615" s="20"/>
      <c r="J615" s="20"/>
      <c r="K615" s="20"/>
    </row>
    <row r="616" spans="2:11" ht="15">
      <c r="B616" s="13"/>
      <c r="C616" s="20"/>
      <c r="D616" s="20"/>
      <c r="E616" s="20"/>
      <c r="F616" s="20"/>
      <c r="G616" s="20"/>
      <c r="H616" s="20"/>
      <c r="I616" s="20"/>
      <c r="J616" s="20"/>
      <c r="K616" s="20"/>
    </row>
    <row r="617" spans="2:11" ht="15">
      <c r="B617" s="33"/>
      <c r="C617" s="20"/>
      <c r="D617" s="20"/>
      <c r="E617" s="20"/>
      <c r="F617" s="20"/>
      <c r="G617" s="20"/>
      <c r="H617" s="20"/>
      <c r="I617" s="20"/>
      <c r="J617" s="20"/>
      <c r="K617" s="20"/>
    </row>
    <row r="618" spans="2:11" ht="15">
      <c r="B618" s="15"/>
      <c r="C618" s="20"/>
      <c r="D618" s="20"/>
      <c r="E618" s="20"/>
      <c r="F618" s="20"/>
      <c r="G618" s="20"/>
      <c r="H618" s="20"/>
      <c r="I618" s="20"/>
      <c r="J618" s="20"/>
      <c r="K618" s="20"/>
    </row>
    <row r="619" spans="2:11" ht="15">
      <c r="B619" s="16"/>
      <c r="C619" s="20"/>
      <c r="D619" s="20"/>
      <c r="E619" s="20"/>
      <c r="F619" s="20"/>
      <c r="G619" s="20"/>
      <c r="H619" s="20"/>
      <c r="I619" s="20"/>
      <c r="J619" s="20"/>
      <c r="K619" s="20"/>
    </row>
    <row r="620" spans="2:11" ht="15">
      <c r="B620" s="16"/>
      <c r="C620" s="20"/>
      <c r="D620" s="20"/>
      <c r="E620" s="20"/>
      <c r="F620" s="20"/>
      <c r="G620" s="20"/>
      <c r="H620" s="20"/>
      <c r="I620" s="20"/>
      <c r="J620" s="20"/>
      <c r="K620" s="20"/>
    </row>
    <row r="621" spans="2:11" ht="15">
      <c r="B621" s="17"/>
      <c r="C621" s="20"/>
      <c r="D621" s="20"/>
      <c r="E621" s="20"/>
      <c r="F621" s="20"/>
      <c r="G621" s="20"/>
      <c r="H621" s="20"/>
      <c r="I621" s="20"/>
      <c r="J621" s="20"/>
      <c r="K621" s="20"/>
    </row>
    <row r="622" spans="2:11" ht="15">
      <c r="B622" s="17"/>
      <c r="C622" s="20"/>
      <c r="D622" s="20"/>
      <c r="E622" s="20"/>
      <c r="F622" s="20"/>
      <c r="G622" s="20"/>
      <c r="H622" s="20"/>
      <c r="I622" s="20"/>
      <c r="J622" s="20"/>
      <c r="K622" s="20"/>
    </row>
    <row r="623" spans="2:11" ht="15">
      <c r="B623" s="33"/>
      <c r="C623" s="20"/>
      <c r="D623" s="20"/>
      <c r="E623" s="20"/>
      <c r="F623" s="20"/>
      <c r="G623" s="20"/>
      <c r="H623" s="20"/>
      <c r="I623" s="20"/>
      <c r="J623" s="20"/>
      <c r="K623" s="20"/>
    </row>
    <row r="624" spans="2:11" ht="15">
      <c r="B624" s="18"/>
      <c r="C624" s="20"/>
      <c r="D624" s="20"/>
      <c r="E624" s="20"/>
      <c r="F624" s="20"/>
      <c r="G624" s="20"/>
      <c r="H624" s="20"/>
      <c r="I624" s="20"/>
      <c r="J624" s="20"/>
      <c r="K624" s="20"/>
    </row>
    <row r="625" spans="2:11" ht="15">
      <c r="B625" s="18"/>
      <c r="C625" s="20"/>
      <c r="D625" s="20"/>
      <c r="E625" s="20"/>
      <c r="F625" s="20"/>
      <c r="G625" s="20"/>
      <c r="H625" s="20"/>
      <c r="I625" s="20"/>
      <c r="J625" s="20"/>
      <c r="K625" s="20"/>
    </row>
    <row r="626" spans="2:11" ht="15">
      <c r="B626" s="13"/>
      <c r="C626" s="20"/>
      <c r="D626" s="20"/>
      <c r="E626" s="20"/>
      <c r="F626" s="20"/>
      <c r="G626" s="20"/>
      <c r="H626" s="20"/>
      <c r="I626" s="20"/>
      <c r="J626" s="20"/>
      <c r="K626" s="20"/>
    </row>
    <row r="627" spans="2:11" ht="15">
      <c r="B627" s="13"/>
      <c r="C627" s="20"/>
      <c r="D627" s="20"/>
      <c r="E627" s="20"/>
      <c r="F627" s="20"/>
      <c r="G627" s="20"/>
      <c r="H627" s="20"/>
      <c r="I627" s="20"/>
      <c r="J627" s="20"/>
      <c r="K627" s="20"/>
    </row>
    <row r="628" spans="2:11" ht="15">
      <c r="B628" s="13"/>
      <c r="C628" s="20"/>
      <c r="D628" s="20"/>
      <c r="E628" s="20"/>
      <c r="F628" s="20"/>
      <c r="G628" s="20"/>
      <c r="H628" s="20"/>
      <c r="I628" s="20"/>
      <c r="J628" s="20"/>
      <c r="K628" s="20"/>
    </row>
    <row r="629" spans="2:11" ht="15">
      <c r="B629" s="13"/>
      <c r="C629" s="20"/>
      <c r="D629" s="20"/>
      <c r="E629" s="20"/>
      <c r="F629" s="20"/>
      <c r="G629" s="20"/>
      <c r="H629" s="20"/>
      <c r="I629" s="20"/>
      <c r="J629" s="20"/>
      <c r="K629" s="20"/>
    </row>
    <row r="630" spans="2:11" ht="15">
      <c r="B630" s="13"/>
      <c r="C630" s="20"/>
      <c r="D630" s="20"/>
      <c r="E630" s="20"/>
      <c r="F630" s="20"/>
      <c r="G630" s="20"/>
      <c r="H630" s="20"/>
      <c r="I630" s="20"/>
      <c r="J630" s="20"/>
      <c r="K630" s="20"/>
    </row>
    <row r="631" spans="2:11" ht="15">
      <c r="B631" s="13"/>
      <c r="C631" s="20"/>
      <c r="D631" s="20"/>
      <c r="E631" s="20"/>
      <c r="F631" s="20"/>
      <c r="G631" s="20"/>
      <c r="H631" s="20"/>
      <c r="I631" s="20"/>
      <c r="J631" s="20"/>
      <c r="K631" s="20"/>
    </row>
    <row r="632" spans="2:11" ht="15">
      <c r="B632" s="13"/>
      <c r="C632" s="20"/>
      <c r="D632" s="20"/>
      <c r="E632" s="20"/>
      <c r="F632" s="20"/>
      <c r="G632" s="20"/>
      <c r="H632" s="20"/>
      <c r="I632" s="20"/>
      <c r="J632" s="20"/>
      <c r="K632" s="20"/>
    </row>
    <row r="633" spans="2:11" ht="15">
      <c r="B633" s="13"/>
      <c r="C633" s="20"/>
      <c r="D633" s="20"/>
      <c r="E633" s="20"/>
      <c r="F633" s="20"/>
      <c r="G633" s="20"/>
      <c r="H633" s="20"/>
      <c r="I633" s="20"/>
      <c r="J633" s="20"/>
      <c r="K633" s="20"/>
    </row>
    <row r="634" spans="2:11" ht="15">
      <c r="B634" s="13"/>
      <c r="C634" s="20"/>
      <c r="D634" s="20"/>
      <c r="E634" s="20"/>
      <c r="F634" s="20"/>
      <c r="G634" s="20"/>
      <c r="H634" s="20"/>
      <c r="I634" s="20"/>
      <c r="J634" s="20"/>
      <c r="K634" s="20"/>
    </row>
    <row r="635" spans="2:11" ht="15">
      <c r="B635" s="13"/>
      <c r="C635" s="20"/>
      <c r="D635" s="20"/>
      <c r="E635" s="20"/>
      <c r="F635" s="20"/>
      <c r="G635" s="20"/>
      <c r="H635" s="20"/>
      <c r="I635" s="20"/>
      <c r="J635" s="20"/>
      <c r="K635" s="20"/>
    </row>
    <row r="636" spans="2:11" ht="15">
      <c r="B636" s="13"/>
      <c r="C636" s="20"/>
      <c r="D636" s="20"/>
      <c r="E636" s="20"/>
      <c r="F636" s="20"/>
      <c r="G636" s="20"/>
      <c r="H636" s="20"/>
      <c r="I636" s="20"/>
      <c r="J636" s="20"/>
      <c r="K636" s="20"/>
    </row>
    <row r="639" spans="2:11" ht="18.75">
      <c r="B639" s="733"/>
      <c r="C639" s="733"/>
      <c r="D639" s="733"/>
      <c r="E639" s="733"/>
      <c r="F639" s="733"/>
      <c r="G639" s="733"/>
      <c r="H639" s="733"/>
      <c r="I639" s="733"/>
      <c r="J639" s="733"/>
      <c r="K639" s="26"/>
    </row>
    <row r="640" spans="2:11" ht="15">
      <c r="B640" s="27"/>
      <c r="C640" s="20"/>
      <c r="D640" s="20"/>
      <c r="E640" s="20"/>
      <c r="F640" s="20"/>
      <c r="G640" s="20"/>
      <c r="H640" s="20"/>
      <c r="I640" s="20"/>
      <c r="J640" s="20"/>
      <c r="K640" s="20"/>
    </row>
    <row r="641" spans="2:11">
      <c r="B641" s="735"/>
      <c r="C641" s="735"/>
      <c r="D641" s="735"/>
      <c r="E641" s="735"/>
      <c r="F641" s="735"/>
      <c r="G641" s="735"/>
      <c r="H641" s="735"/>
      <c r="I641" s="735"/>
      <c r="J641" s="735"/>
      <c r="K641" s="26"/>
    </row>
    <row r="642" spans="2:11">
      <c r="B642" s="735"/>
      <c r="C642" s="735"/>
      <c r="D642" s="735"/>
      <c r="E642" s="735"/>
      <c r="F642" s="735"/>
      <c r="G642" s="735"/>
      <c r="H642" s="735"/>
      <c r="I642" s="735"/>
      <c r="J642" s="735"/>
      <c r="K642" s="26"/>
    </row>
    <row r="643" spans="2:11" ht="15">
      <c r="B643" s="28"/>
      <c r="C643" s="29"/>
      <c r="D643" s="29"/>
      <c r="E643" s="29"/>
      <c r="F643" s="29"/>
      <c r="G643" s="29"/>
      <c r="H643" s="20"/>
      <c r="I643" s="20"/>
      <c r="J643" s="20"/>
      <c r="K643" s="20"/>
    </row>
    <row r="644" spans="2:11" ht="15">
      <c r="B644" s="30"/>
      <c r="C644" s="20"/>
      <c r="D644" s="23"/>
      <c r="E644" s="20"/>
      <c r="F644" s="23"/>
      <c r="G644" s="20"/>
      <c r="H644" s="20"/>
      <c r="I644" s="20"/>
      <c r="J644" s="20"/>
      <c r="K644" s="20"/>
    </row>
    <row r="645" spans="2:11" ht="15">
      <c r="B645" s="21"/>
      <c r="C645" s="23"/>
      <c r="D645" s="23"/>
      <c r="E645" s="23"/>
      <c r="F645" s="23"/>
      <c r="G645" s="23"/>
      <c r="H645" s="23"/>
      <c r="I645" s="23"/>
      <c r="J645" s="23"/>
      <c r="K645" s="23"/>
    </row>
    <row r="646" spans="2:11" ht="15">
      <c r="B646" s="13"/>
      <c r="C646" s="23"/>
      <c r="D646" s="23"/>
      <c r="E646" s="32"/>
      <c r="F646" s="32"/>
      <c r="G646" s="32"/>
      <c r="H646" s="32"/>
      <c r="I646" s="32"/>
      <c r="J646" s="32"/>
      <c r="K646" s="32"/>
    </row>
    <row r="647" spans="2:11" ht="15">
      <c r="B647" s="13"/>
      <c r="C647" s="23"/>
      <c r="D647" s="20"/>
      <c r="E647" s="20"/>
      <c r="F647" s="20"/>
      <c r="G647" s="20"/>
      <c r="H647" s="20"/>
      <c r="I647" s="20"/>
      <c r="J647" s="20"/>
      <c r="K647" s="20"/>
    </row>
    <row r="648" spans="2:11" ht="15">
      <c r="B648" s="33"/>
      <c r="C648" s="20"/>
      <c r="D648" s="20"/>
      <c r="E648" s="20"/>
      <c r="F648" s="20"/>
      <c r="G648" s="20"/>
      <c r="H648" s="20"/>
      <c r="I648" s="20"/>
      <c r="J648" s="20"/>
      <c r="K648" s="20"/>
    </row>
    <row r="649" spans="2:11" ht="15">
      <c r="B649" s="35"/>
      <c r="C649" s="20"/>
      <c r="D649" s="20"/>
      <c r="E649" s="20"/>
      <c r="F649" s="20"/>
      <c r="G649" s="20"/>
      <c r="H649" s="20"/>
      <c r="I649" s="20"/>
      <c r="J649" s="20"/>
      <c r="K649" s="20"/>
    </row>
    <row r="650" spans="2:11" ht="15">
      <c r="B650" s="35"/>
      <c r="C650" s="20"/>
      <c r="D650" s="20"/>
      <c r="E650" s="20"/>
      <c r="F650" s="20"/>
      <c r="G650" s="20"/>
      <c r="H650" s="20"/>
      <c r="I650" s="20"/>
      <c r="J650" s="20"/>
      <c r="K650" s="20"/>
    </row>
    <row r="651" spans="2:11" ht="15">
      <c r="B651" s="35"/>
      <c r="C651" s="20"/>
      <c r="D651" s="20"/>
      <c r="E651" s="20"/>
      <c r="F651" s="20"/>
      <c r="G651" s="20"/>
      <c r="H651" s="20"/>
      <c r="I651" s="20"/>
      <c r="J651" s="20"/>
      <c r="K651" s="20"/>
    </row>
    <row r="652" spans="2:11" ht="15">
      <c r="B652" s="16"/>
      <c r="C652" s="20"/>
      <c r="D652" s="20"/>
      <c r="E652" s="20"/>
      <c r="F652" s="20"/>
      <c r="G652" s="20"/>
      <c r="H652" s="20"/>
      <c r="I652" s="20"/>
      <c r="J652" s="20"/>
      <c r="K652" s="20"/>
    </row>
    <row r="653" spans="2:11" ht="15">
      <c r="B653" s="13"/>
      <c r="C653" s="20"/>
      <c r="D653" s="20"/>
      <c r="E653" s="20"/>
      <c r="F653" s="20"/>
      <c r="G653" s="20"/>
      <c r="H653" s="20"/>
      <c r="I653" s="20"/>
      <c r="J653" s="20"/>
      <c r="K653" s="20"/>
    </row>
    <row r="654" spans="2:11" ht="15">
      <c r="B654" s="33"/>
      <c r="C654" s="20"/>
      <c r="D654" s="20"/>
      <c r="E654" s="20"/>
      <c r="F654" s="20"/>
      <c r="G654" s="20"/>
      <c r="H654" s="20"/>
      <c r="I654" s="20"/>
      <c r="J654" s="20"/>
      <c r="K654" s="20"/>
    </row>
    <row r="655" spans="2:11" ht="15">
      <c r="B655" s="15"/>
      <c r="C655" s="20"/>
      <c r="D655" s="20"/>
      <c r="E655" s="20"/>
      <c r="F655" s="20"/>
      <c r="G655" s="20"/>
      <c r="H655" s="20"/>
      <c r="I655" s="20"/>
      <c r="J655" s="20"/>
      <c r="K655" s="20"/>
    </row>
    <row r="656" spans="2:11" ht="15">
      <c r="B656" s="35"/>
      <c r="C656" s="20"/>
      <c r="D656" s="20"/>
      <c r="E656" s="20"/>
      <c r="F656" s="20"/>
      <c r="G656" s="20"/>
      <c r="H656" s="20"/>
      <c r="I656" s="20"/>
      <c r="J656" s="20"/>
      <c r="K656" s="20"/>
    </row>
    <row r="657" spans="2:11" ht="15">
      <c r="B657" s="16"/>
      <c r="C657" s="20"/>
      <c r="D657" s="20"/>
      <c r="E657" s="20"/>
      <c r="F657" s="20"/>
      <c r="G657" s="20"/>
      <c r="H657" s="20"/>
      <c r="I657" s="20"/>
      <c r="J657" s="20"/>
      <c r="K657" s="20"/>
    </row>
    <row r="658" spans="2:11" ht="15">
      <c r="B658" s="16"/>
      <c r="C658" s="20"/>
      <c r="D658" s="20"/>
      <c r="E658" s="20"/>
      <c r="F658" s="20"/>
      <c r="G658" s="20"/>
      <c r="H658" s="20"/>
      <c r="I658" s="20"/>
      <c r="J658" s="20"/>
      <c r="K658" s="20"/>
    </row>
    <row r="659" spans="2:11" ht="15">
      <c r="B659" s="17"/>
      <c r="C659" s="20"/>
      <c r="D659" s="20"/>
      <c r="E659" s="20"/>
      <c r="F659" s="20"/>
      <c r="G659" s="20"/>
      <c r="H659" s="20"/>
      <c r="I659" s="20"/>
      <c r="J659" s="20"/>
      <c r="K659" s="20"/>
    </row>
    <row r="660" spans="2:11" ht="15">
      <c r="B660" s="17"/>
      <c r="C660" s="20"/>
      <c r="D660" s="20"/>
      <c r="E660" s="20"/>
      <c r="F660" s="20"/>
      <c r="G660" s="20"/>
      <c r="H660" s="20"/>
      <c r="I660" s="20"/>
      <c r="J660" s="20"/>
      <c r="K660" s="20"/>
    </row>
    <row r="661" spans="2:11" ht="15">
      <c r="B661" s="33"/>
      <c r="C661" s="20"/>
      <c r="D661" s="20"/>
      <c r="E661" s="20"/>
      <c r="F661" s="20"/>
      <c r="G661" s="20"/>
      <c r="H661" s="20"/>
      <c r="I661" s="20"/>
      <c r="J661" s="20"/>
      <c r="K661" s="20"/>
    </row>
    <row r="662" spans="2:11" ht="15">
      <c r="B662" s="18"/>
      <c r="C662" s="20"/>
      <c r="D662" s="20"/>
      <c r="E662" s="20"/>
      <c r="F662" s="20"/>
      <c r="G662" s="20"/>
      <c r="H662" s="20"/>
      <c r="I662" s="20"/>
      <c r="J662" s="20"/>
      <c r="K662" s="20"/>
    </row>
    <row r="663" spans="2:11" ht="15">
      <c r="B663" s="18"/>
      <c r="C663" s="20"/>
      <c r="D663" s="20"/>
      <c r="E663" s="20"/>
      <c r="F663" s="20"/>
      <c r="G663" s="20"/>
      <c r="H663" s="20"/>
      <c r="I663" s="20"/>
      <c r="J663" s="20"/>
      <c r="K663" s="20"/>
    </row>
    <row r="664" spans="2:11" ht="15">
      <c r="B664" s="13"/>
      <c r="C664" s="20"/>
      <c r="D664" s="20"/>
      <c r="E664" s="20"/>
      <c r="F664" s="20"/>
      <c r="G664" s="20"/>
      <c r="H664" s="20"/>
      <c r="I664" s="20"/>
      <c r="J664" s="20"/>
      <c r="K664" s="20"/>
    </row>
    <row r="665" spans="2:11" ht="15">
      <c r="B665" s="13"/>
      <c r="C665" s="20"/>
      <c r="D665" s="20"/>
      <c r="E665" s="20"/>
      <c r="F665" s="20"/>
      <c r="G665" s="20"/>
      <c r="H665" s="20"/>
      <c r="I665" s="20"/>
      <c r="J665" s="20"/>
      <c r="K665" s="20"/>
    </row>
    <row r="666" spans="2:11" ht="15">
      <c r="B666" s="13"/>
      <c r="C666" s="20"/>
      <c r="D666" s="20"/>
      <c r="E666" s="20"/>
      <c r="F666" s="20"/>
      <c r="G666" s="20"/>
      <c r="H666" s="20"/>
      <c r="I666" s="20"/>
      <c r="J666" s="20"/>
      <c r="K666" s="20"/>
    </row>
    <row r="667" spans="2:11" ht="15">
      <c r="B667" s="13"/>
      <c r="C667" s="20"/>
      <c r="D667" s="20"/>
      <c r="E667" s="20"/>
      <c r="F667" s="20"/>
      <c r="G667" s="20"/>
      <c r="H667" s="20"/>
      <c r="I667" s="20"/>
      <c r="J667" s="20"/>
      <c r="K667" s="20"/>
    </row>
    <row r="668" spans="2:11" ht="15">
      <c r="B668" s="13"/>
      <c r="C668" s="20"/>
      <c r="D668" s="20"/>
      <c r="E668" s="20"/>
      <c r="F668" s="20"/>
      <c r="G668" s="20"/>
      <c r="H668" s="20"/>
      <c r="I668" s="20"/>
      <c r="J668" s="20"/>
      <c r="K668" s="20"/>
    </row>
    <row r="669" spans="2:11" ht="15">
      <c r="B669" s="13"/>
      <c r="C669" s="20"/>
      <c r="D669" s="20"/>
      <c r="E669" s="20"/>
      <c r="F669" s="20"/>
      <c r="G669" s="20"/>
      <c r="H669" s="20"/>
      <c r="I669" s="20"/>
      <c r="J669" s="20"/>
      <c r="K669" s="20"/>
    </row>
    <row r="670" spans="2:11" ht="15">
      <c r="B670" s="13"/>
      <c r="C670" s="20"/>
      <c r="D670" s="20"/>
      <c r="E670" s="20"/>
      <c r="F670" s="20"/>
      <c r="G670" s="20"/>
      <c r="H670" s="20"/>
      <c r="I670" s="20"/>
      <c r="J670" s="20"/>
      <c r="K670" s="20"/>
    </row>
    <row r="671" spans="2:11" ht="15">
      <c r="B671" s="13"/>
      <c r="C671" s="20"/>
      <c r="D671" s="20"/>
      <c r="E671" s="20"/>
      <c r="F671" s="20"/>
      <c r="G671" s="20"/>
      <c r="H671" s="20"/>
      <c r="I671" s="20"/>
      <c r="J671" s="20"/>
      <c r="K671" s="20"/>
    </row>
    <row r="672" spans="2:11" ht="15">
      <c r="B672" s="13"/>
      <c r="C672" s="20"/>
      <c r="D672" s="20"/>
      <c r="E672" s="20"/>
      <c r="F672" s="20"/>
      <c r="G672" s="20"/>
      <c r="H672" s="20"/>
      <c r="I672" s="20"/>
      <c r="J672" s="20"/>
      <c r="K672" s="20"/>
    </row>
    <row r="673" spans="2:11" ht="15">
      <c r="B673" s="13"/>
      <c r="C673" s="20"/>
      <c r="D673" s="20"/>
      <c r="E673" s="20"/>
      <c r="F673" s="20"/>
      <c r="G673" s="20"/>
      <c r="H673" s="20"/>
      <c r="I673" s="20"/>
      <c r="J673" s="20"/>
      <c r="K673" s="20"/>
    </row>
    <row r="674" spans="2:11" ht="15">
      <c r="B674" s="13"/>
      <c r="C674" s="20"/>
      <c r="D674" s="20"/>
      <c r="E674" s="20"/>
      <c r="F674" s="20"/>
      <c r="G674" s="20"/>
      <c r="H674" s="20"/>
      <c r="I674" s="20"/>
      <c r="J674" s="20"/>
      <c r="K674" s="20"/>
    </row>
    <row r="675" spans="2:11" ht="15">
      <c r="B675" s="13"/>
      <c r="C675" s="20"/>
      <c r="D675" s="20"/>
      <c r="E675" s="20"/>
      <c r="F675" s="20"/>
      <c r="G675" s="20"/>
      <c r="H675" s="20"/>
      <c r="I675" s="20"/>
      <c r="J675" s="20"/>
      <c r="K675" s="20"/>
    </row>
    <row r="677" spans="2:11" ht="18.75">
      <c r="B677" s="733"/>
      <c r="C677" s="733"/>
      <c r="D677" s="733"/>
      <c r="E677" s="733"/>
      <c r="F677" s="733"/>
      <c r="G677" s="733"/>
      <c r="H677" s="733"/>
      <c r="I677" s="733"/>
      <c r="J677" s="733"/>
      <c r="K677" s="26"/>
    </row>
    <row r="678" spans="2:11" ht="15">
      <c r="B678" s="27"/>
      <c r="C678" s="20"/>
      <c r="D678" s="20"/>
      <c r="E678" s="20"/>
      <c r="F678" s="20"/>
      <c r="G678" s="20"/>
      <c r="H678" s="20"/>
      <c r="I678" s="20"/>
      <c r="J678" s="20"/>
      <c r="K678" s="20"/>
    </row>
    <row r="679" spans="2:11">
      <c r="B679" s="735"/>
      <c r="C679" s="735"/>
      <c r="D679" s="735"/>
      <c r="E679" s="735"/>
      <c r="F679" s="735"/>
      <c r="G679" s="735"/>
      <c r="H679" s="735"/>
      <c r="I679" s="735"/>
      <c r="J679" s="735"/>
      <c r="K679" s="26"/>
    </row>
    <row r="680" spans="2:11" ht="18" customHeight="1">
      <c r="B680" s="735"/>
      <c r="C680" s="735"/>
      <c r="D680" s="735"/>
      <c r="E680" s="735"/>
      <c r="F680" s="735"/>
      <c r="G680" s="735"/>
      <c r="H680" s="735"/>
      <c r="I680" s="735"/>
      <c r="J680" s="735"/>
      <c r="K680" s="26"/>
    </row>
    <row r="681" spans="2:11" ht="15">
      <c r="B681" s="30"/>
      <c r="C681" s="20"/>
      <c r="D681" s="31"/>
      <c r="E681" s="20"/>
      <c r="F681" s="23"/>
      <c r="G681" s="20"/>
      <c r="H681" s="20"/>
      <c r="I681" s="20"/>
      <c r="J681" s="20"/>
      <c r="K681" s="20"/>
    </row>
    <row r="682" spans="2:11" ht="15">
      <c r="B682" s="21"/>
      <c r="C682" s="23"/>
      <c r="D682" s="23"/>
      <c r="E682" s="23"/>
      <c r="F682" s="23"/>
      <c r="G682" s="23"/>
      <c r="H682" s="23"/>
      <c r="I682" s="23"/>
      <c r="J682" s="23"/>
      <c r="K682" s="23"/>
    </row>
    <row r="683" spans="2:11" ht="15">
      <c r="B683" s="13"/>
      <c r="C683" s="23"/>
      <c r="D683" s="23"/>
      <c r="E683" s="32"/>
      <c r="F683" s="32"/>
      <c r="G683" s="32"/>
      <c r="H683" s="32"/>
      <c r="I683" s="32"/>
      <c r="J683" s="32"/>
      <c r="K683" s="32"/>
    </row>
    <row r="684" spans="2:11" ht="15">
      <c r="B684" s="13"/>
      <c r="C684" s="23"/>
      <c r="D684" s="20"/>
      <c r="E684" s="20"/>
      <c r="F684" s="20"/>
      <c r="G684" s="20"/>
      <c r="H684" s="20"/>
      <c r="I684" s="20"/>
      <c r="J684" s="20"/>
      <c r="K684" s="20"/>
    </row>
    <row r="685" spans="2:11" ht="15">
      <c r="B685" s="33"/>
      <c r="C685" s="20"/>
      <c r="D685" s="20"/>
      <c r="E685" s="20"/>
      <c r="F685" s="20"/>
      <c r="G685" s="20"/>
      <c r="H685" s="20"/>
      <c r="I685" s="20"/>
      <c r="J685" s="20"/>
      <c r="K685" s="20"/>
    </row>
    <row r="686" spans="2:11" ht="15">
      <c r="B686" s="34"/>
      <c r="C686" s="20"/>
      <c r="D686" s="20"/>
      <c r="E686" s="20"/>
      <c r="F686" s="20"/>
      <c r="G686" s="20"/>
      <c r="H686" s="20"/>
      <c r="I686" s="20"/>
      <c r="J686" s="20"/>
      <c r="K686" s="20"/>
    </row>
    <row r="687" spans="2:11" ht="15">
      <c r="B687" s="35"/>
      <c r="C687" s="20"/>
      <c r="D687" s="20"/>
      <c r="E687" s="20"/>
      <c r="F687" s="20"/>
      <c r="G687" s="20"/>
      <c r="H687" s="20"/>
      <c r="I687" s="20"/>
      <c r="J687" s="20"/>
      <c r="K687" s="20"/>
    </row>
    <row r="688" spans="2:11" ht="15">
      <c r="B688" s="16"/>
      <c r="C688" s="20"/>
      <c r="D688" s="20"/>
      <c r="E688" s="20"/>
      <c r="F688" s="20"/>
      <c r="G688" s="20"/>
      <c r="H688" s="20"/>
      <c r="I688" s="20"/>
      <c r="J688" s="20"/>
      <c r="K688" s="20"/>
    </row>
    <row r="689" spans="2:11" ht="15">
      <c r="B689" s="13"/>
      <c r="C689" s="20"/>
      <c r="D689" s="20"/>
      <c r="E689" s="20"/>
      <c r="F689" s="20"/>
      <c r="G689" s="20"/>
      <c r="H689" s="20"/>
      <c r="I689" s="20"/>
      <c r="J689" s="20"/>
      <c r="K689" s="20"/>
    </row>
    <row r="690" spans="2:11" ht="15">
      <c r="B690" s="33"/>
      <c r="C690" s="20"/>
      <c r="D690" s="20"/>
      <c r="E690" s="20"/>
      <c r="F690" s="20"/>
      <c r="G690" s="20"/>
      <c r="H690" s="20"/>
      <c r="I690" s="20"/>
      <c r="J690" s="20"/>
      <c r="K690" s="20"/>
    </row>
    <row r="691" spans="2:11" ht="15">
      <c r="B691" s="15"/>
      <c r="C691" s="20"/>
      <c r="D691" s="20"/>
      <c r="E691" s="20"/>
      <c r="F691" s="20"/>
      <c r="G691" s="20"/>
      <c r="H691" s="20"/>
      <c r="I691" s="20"/>
      <c r="J691" s="20"/>
      <c r="K691" s="20"/>
    </row>
    <row r="692" spans="2:11" ht="15">
      <c r="B692" s="15"/>
      <c r="C692" s="20"/>
      <c r="D692" s="20"/>
      <c r="E692" s="20"/>
      <c r="F692" s="20"/>
      <c r="G692" s="20"/>
      <c r="H692" s="20"/>
      <c r="I692" s="20"/>
      <c r="J692" s="20"/>
      <c r="K692" s="20"/>
    </row>
    <row r="693" spans="2:11" ht="15">
      <c r="B693" s="15"/>
      <c r="C693" s="20"/>
      <c r="D693" s="20"/>
      <c r="E693" s="20"/>
      <c r="F693" s="20"/>
      <c r="G693" s="20"/>
      <c r="H693" s="20"/>
      <c r="I693" s="20"/>
      <c r="J693" s="20"/>
      <c r="K693" s="20"/>
    </row>
    <row r="694" spans="2:11" ht="15">
      <c r="B694" s="15"/>
      <c r="C694" s="20"/>
      <c r="D694" s="20"/>
      <c r="E694" s="20"/>
      <c r="F694" s="20"/>
      <c r="G694" s="20"/>
      <c r="H694" s="20"/>
      <c r="I694" s="20"/>
      <c r="J694" s="20"/>
      <c r="K694" s="20"/>
    </row>
    <row r="695" spans="2:11" ht="15">
      <c r="B695" s="16"/>
      <c r="C695" s="20"/>
      <c r="D695" s="20"/>
      <c r="E695" s="20"/>
      <c r="F695" s="20"/>
      <c r="G695" s="20"/>
      <c r="H695" s="20"/>
      <c r="I695" s="20"/>
      <c r="J695" s="20"/>
      <c r="K695" s="20"/>
    </row>
    <row r="696" spans="2:11" ht="15">
      <c r="B696" s="16"/>
      <c r="C696" s="20"/>
      <c r="D696" s="20"/>
      <c r="E696" s="20"/>
      <c r="F696" s="20"/>
      <c r="G696" s="20"/>
      <c r="H696" s="20"/>
      <c r="I696" s="20"/>
      <c r="J696" s="20"/>
      <c r="K696" s="20"/>
    </row>
    <row r="697" spans="2:11" ht="15">
      <c r="B697" s="17"/>
      <c r="C697" s="20"/>
      <c r="D697" s="20"/>
      <c r="E697" s="20"/>
      <c r="F697" s="20"/>
      <c r="G697" s="20"/>
      <c r="H697" s="20"/>
      <c r="I697" s="20"/>
      <c r="J697" s="20"/>
      <c r="K697" s="20"/>
    </row>
    <row r="698" spans="2:11" ht="15">
      <c r="B698" s="17"/>
      <c r="C698" s="20"/>
      <c r="D698" s="20"/>
      <c r="E698" s="20"/>
      <c r="F698" s="20"/>
      <c r="G698" s="20"/>
      <c r="H698" s="20"/>
      <c r="I698" s="20"/>
      <c r="J698" s="20"/>
      <c r="K698" s="20"/>
    </row>
    <row r="699" spans="2:11" ht="15">
      <c r="B699" s="33"/>
      <c r="C699" s="20"/>
      <c r="D699" s="20"/>
      <c r="E699" s="20"/>
      <c r="F699" s="20"/>
      <c r="G699" s="20"/>
      <c r="H699" s="20"/>
      <c r="I699" s="20"/>
      <c r="J699" s="20"/>
      <c r="K699" s="20"/>
    </row>
    <row r="700" spans="2:11" ht="15">
      <c r="B700" s="18"/>
      <c r="C700" s="20"/>
      <c r="D700" s="20"/>
      <c r="E700" s="20"/>
      <c r="F700" s="20"/>
      <c r="G700" s="20"/>
      <c r="H700" s="20"/>
      <c r="I700" s="20"/>
      <c r="J700" s="20"/>
      <c r="K700" s="20"/>
    </row>
    <row r="701" spans="2:11" ht="15">
      <c r="B701" s="18"/>
      <c r="C701" s="20"/>
      <c r="D701" s="20"/>
      <c r="E701" s="20"/>
      <c r="F701" s="20"/>
      <c r="G701" s="20"/>
      <c r="H701" s="20"/>
      <c r="I701" s="20"/>
      <c r="J701" s="20"/>
      <c r="K701" s="20"/>
    </row>
    <row r="702" spans="2:11" ht="15">
      <c r="B702" s="13"/>
      <c r="C702" s="20"/>
      <c r="D702" s="20"/>
      <c r="E702" s="20"/>
      <c r="F702" s="20"/>
      <c r="G702" s="20"/>
      <c r="H702" s="20"/>
      <c r="I702" s="20"/>
      <c r="J702" s="20"/>
      <c r="K702" s="20"/>
    </row>
    <row r="703" spans="2:11" ht="15">
      <c r="B703" s="13"/>
      <c r="C703" s="20"/>
      <c r="D703" s="20"/>
      <c r="E703" s="20"/>
      <c r="F703" s="20"/>
      <c r="G703" s="20"/>
      <c r="H703" s="20"/>
      <c r="I703" s="20"/>
      <c r="J703" s="20"/>
      <c r="K703" s="20"/>
    </row>
    <row r="704" spans="2:11" ht="15">
      <c r="B704" s="13"/>
      <c r="C704" s="20"/>
      <c r="D704" s="20"/>
      <c r="E704" s="20"/>
      <c r="F704" s="20"/>
      <c r="G704" s="20"/>
      <c r="H704" s="20"/>
      <c r="I704" s="20"/>
      <c r="J704" s="20"/>
      <c r="K704" s="20"/>
    </row>
    <row r="705" spans="2:11" ht="15">
      <c r="B705" s="13"/>
      <c r="C705" s="20"/>
      <c r="D705" s="20"/>
      <c r="E705" s="20"/>
      <c r="F705" s="20"/>
      <c r="G705" s="20"/>
      <c r="H705" s="20"/>
      <c r="I705" s="20"/>
      <c r="J705" s="20"/>
      <c r="K705" s="20"/>
    </row>
    <row r="706" spans="2:11" ht="15">
      <c r="B706" s="13"/>
      <c r="C706" s="20"/>
      <c r="D706" s="20"/>
      <c r="E706" s="20"/>
      <c r="F706" s="20"/>
      <c r="G706" s="20"/>
      <c r="H706" s="20"/>
      <c r="I706" s="20"/>
      <c r="J706" s="20"/>
      <c r="K706" s="20"/>
    </row>
    <row r="707" spans="2:11" ht="15">
      <c r="B707" s="13"/>
      <c r="C707" s="20"/>
      <c r="D707" s="20"/>
      <c r="E707" s="20"/>
      <c r="F707" s="20"/>
      <c r="G707" s="20"/>
      <c r="H707" s="20"/>
      <c r="I707" s="20"/>
      <c r="J707" s="20"/>
      <c r="K707" s="20"/>
    </row>
    <row r="708" spans="2:11" ht="15">
      <c r="B708" s="13"/>
      <c r="C708" s="20"/>
      <c r="D708" s="20"/>
      <c r="E708" s="20"/>
      <c r="F708" s="20"/>
      <c r="G708" s="20"/>
      <c r="H708" s="20"/>
      <c r="I708" s="20"/>
      <c r="J708" s="20"/>
      <c r="K708" s="20"/>
    </row>
    <row r="709" spans="2:11" ht="15">
      <c r="B709" s="13"/>
      <c r="C709" s="20"/>
      <c r="D709" s="20"/>
      <c r="E709" s="20"/>
      <c r="F709" s="20"/>
      <c r="G709" s="20"/>
      <c r="H709" s="20"/>
      <c r="I709" s="20"/>
      <c r="J709" s="20"/>
      <c r="K709" s="20"/>
    </row>
    <row r="710" spans="2:11" ht="15">
      <c r="B710" s="13"/>
      <c r="C710" s="20"/>
      <c r="D710" s="20"/>
      <c r="E710" s="20"/>
      <c r="F710" s="20"/>
      <c r="G710" s="20"/>
      <c r="H710" s="20"/>
      <c r="I710" s="20"/>
      <c r="J710" s="20"/>
      <c r="K710" s="20"/>
    </row>
    <row r="711" spans="2:11" ht="15">
      <c r="B711" s="13"/>
      <c r="C711" s="20"/>
      <c r="D711" s="20"/>
      <c r="E711" s="20"/>
      <c r="F711" s="20"/>
      <c r="G711" s="20"/>
      <c r="H711" s="20"/>
      <c r="I711" s="20"/>
      <c r="J711" s="20"/>
      <c r="K711" s="20"/>
    </row>
    <row r="712" spans="2:11" ht="15">
      <c r="B712" s="13"/>
      <c r="C712" s="20"/>
      <c r="D712" s="20"/>
      <c r="E712" s="20"/>
      <c r="F712" s="20"/>
      <c r="G712" s="20"/>
      <c r="H712" s="20"/>
      <c r="I712" s="20"/>
      <c r="J712" s="20"/>
      <c r="K712" s="20"/>
    </row>
    <row r="714" spans="2:11" ht="18.75">
      <c r="B714" s="733"/>
      <c r="C714" s="733"/>
      <c r="D714" s="733"/>
      <c r="E714" s="733"/>
      <c r="F714" s="733"/>
      <c r="G714" s="733"/>
      <c r="H714" s="733"/>
      <c r="I714" s="733"/>
      <c r="J714" s="733"/>
      <c r="K714" s="26"/>
    </row>
    <row r="715" spans="2:11" ht="15">
      <c r="B715" s="27"/>
      <c r="C715" s="20"/>
      <c r="D715" s="20"/>
      <c r="E715" s="20"/>
      <c r="F715" s="20"/>
      <c r="G715" s="20"/>
      <c r="H715" s="20"/>
      <c r="I715" s="20"/>
      <c r="J715" s="20"/>
      <c r="K715" s="20"/>
    </row>
    <row r="716" spans="2:11">
      <c r="B716" s="735"/>
      <c r="C716" s="735"/>
      <c r="D716" s="735"/>
      <c r="E716" s="735"/>
      <c r="F716" s="735"/>
      <c r="G716" s="735"/>
      <c r="H716" s="735"/>
      <c r="I716" s="735"/>
      <c r="J716" s="735"/>
      <c r="K716" s="26"/>
    </row>
    <row r="717" spans="2:11" ht="18.75" customHeight="1">
      <c r="B717" s="735"/>
      <c r="C717" s="735"/>
      <c r="D717" s="735"/>
      <c r="E717" s="735"/>
      <c r="F717" s="735"/>
      <c r="G717" s="735"/>
      <c r="H717" s="735"/>
      <c r="I717" s="735"/>
      <c r="J717" s="735"/>
      <c r="K717" s="26"/>
    </row>
    <row r="718" spans="2:11" ht="15">
      <c r="B718" s="28"/>
      <c r="C718" s="29"/>
      <c r="D718" s="29"/>
      <c r="E718" s="29"/>
      <c r="F718" s="29"/>
      <c r="G718" s="29"/>
      <c r="H718" s="29"/>
      <c r="I718" s="20"/>
      <c r="J718" s="20"/>
      <c r="K718" s="20"/>
    </row>
    <row r="719" spans="2:11" ht="15">
      <c r="B719" s="30"/>
      <c r="C719" s="20"/>
      <c r="D719" s="31"/>
      <c r="E719" s="31"/>
      <c r="F719" s="23"/>
      <c r="G719" s="20"/>
      <c r="H719" s="20"/>
      <c r="I719" s="20"/>
      <c r="J719" s="20"/>
      <c r="K719" s="20"/>
    </row>
    <row r="720" spans="2:11" ht="15">
      <c r="B720" s="21"/>
      <c r="C720" s="23"/>
      <c r="D720" s="23"/>
      <c r="E720" s="23"/>
      <c r="F720" s="23"/>
      <c r="G720" s="23"/>
      <c r="H720" s="23"/>
      <c r="I720" s="23"/>
      <c r="J720" s="23"/>
      <c r="K720" s="23"/>
    </row>
    <row r="721" spans="2:11" ht="15">
      <c r="B721" s="13"/>
      <c r="C721" s="23"/>
      <c r="D721" s="23"/>
      <c r="E721" s="32"/>
      <c r="F721" s="32"/>
      <c r="G721" s="32"/>
      <c r="H721" s="32"/>
      <c r="I721" s="32"/>
      <c r="J721" s="32"/>
      <c r="K721" s="32"/>
    </row>
    <row r="722" spans="2:11" ht="15">
      <c r="B722" s="13"/>
      <c r="C722" s="23"/>
      <c r="D722" s="20"/>
      <c r="E722" s="20"/>
      <c r="F722" s="20"/>
      <c r="G722" s="20"/>
      <c r="H722" s="20"/>
      <c r="I722" s="20"/>
      <c r="J722" s="20"/>
      <c r="K722" s="20"/>
    </row>
    <row r="723" spans="2:11" ht="15">
      <c r="B723" s="33"/>
      <c r="C723" s="20"/>
      <c r="D723" s="20"/>
      <c r="E723" s="20"/>
      <c r="F723" s="20"/>
      <c r="G723" s="20"/>
      <c r="H723" s="20"/>
      <c r="I723" s="20"/>
      <c r="J723" s="20"/>
      <c r="K723" s="20"/>
    </row>
    <row r="724" spans="2:11" ht="15">
      <c r="B724" s="34"/>
      <c r="C724" s="20"/>
      <c r="D724" s="20"/>
      <c r="E724" s="20"/>
      <c r="F724" s="20"/>
      <c r="G724" s="20"/>
      <c r="H724" s="20"/>
      <c r="I724" s="20"/>
      <c r="J724" s="20"/>
      <c r="K724" s="20"/>
    </row>
    <row r="725" spans="2:11" ht="15">
      <c r="B725" s="35"/>
      <c r="C725" s="20"/>
      <c r="D725" s="20"/>
      <c r="E725" s="20"/>
      <c r="F725" s="20"/>
      <c r="G725" s="20"/>
      <c r="H725" s="20"/>
      <c r="I725" s="20"/>
      <c r="J725" s="20"/>
      <c r="K725" s="20"/>
    </row>
    <row r="726" spans="2:11" ht="15">
      <c r="B726" s="16"/>
      <c r="C726" s="20"/>
      <c r="D726" s="20"/>
      <c r="E726" s="20"/>
      <c r="F726" s="20"/>
      <c r="G726" s="20"/>
      <c r="H726" s="20"/>
      <c r="I726" s="20"/>
      <c r="J726" s="20"/>
      <c r="K726" s="20"/>
    </row>
    <row r="727" spans="2:11" ht="15">
      <c r="B727" s="13"/>
      <c r="C727" s="20"/>
      <c r="D727" s="20"/>
      <c r="E727" s="20"/>
      <c r="F727" s="20"/>
      <c r="G727" s="20"/>
      <c r="H727" s="20"/>
      <c r="I727" s="20"/>
      <c r="J727" s="20"/>
      <c r="K727" s="20"/>
    </row>
    <row r="728" spans="2:11" ht="15">
      <c r="B728" s="33"/>
      <c r="C728" s="20"/>
      <c r="D728" s="20"/>
      <c r="E728" s="20"/>
      <c r="F728" s="20"/>
      <c r="G728" s="20"/>
      <c r="H728" s="20"/>
      <c r="I728" s="20"/>
      <c r="J728" s="20"/>
      <c r="K728" s="20"/>
    </row>
    <row r="729" spans="2:11" ht="15">
      <c r="B729" s="15"/>
      <c r="C729" s="20"/>
      <c r="D729" s="20"/>
      <c r="E729" s="20"/>
      <c r="F729" s="20"/>
      <c r="G729" s="20"/>
      <c r="H729" s="20"/>
      <c r="I729" s="20"/>
      <c r="J729" s="20"/>
      <c r="K729" s="20"/>
    </row>
    <row r="730" spans="2:11" ht="15">
      <c r="B730" s="15"/>
      <c r="C730" s="20"/>
      <c r="D730" s="20"/>
      <c r="E730" s="20"/>
      <c r="F730" s="20"/>
      <c r="G730" s="20"/>
      <c r="H730" s="20"/>
      <c r="I730" s="20"/>
      <c r="J730" s="20"/>
      <c r="K730" s="20"/>
    </row>
    <row r="731" spans="2:11" ht="15">
      <c r="B731" s="16"/>
      <c r="C731" s="20"/>
      <c r="D731" s="20"/>
      <c r="E731" s="20"/>
      <c r="F731" s="20"/>
      <c r="G731" s="20"/>
      <c r="H731" s="20"/>
      <c r="I731" s="20"/>
      <c r="J731" s="20"/>
      <c r="K731" s="20"/>
    </row>
    <row r="732" spans="2:11" ht="15">
      <c r="B732" s="16"/>
      <c r="C732" s="20"/>
      <c r="D732" s="20"/>
      <c r="E732" s="20"/>
      <c r="F732" s="20"/>
      <c r="G732" s="20"/>
      <c r="H732" s="20"/>
      <c r="I732" s="20"/>
      <c r="J732" s="20"/>
      <c r="K732" s="20"/>
    </row>
    <row r="733" spans="2:11" ht="15">
      <c r="B733" s="17"/>
      <c r="C733" s="20"/>
      <c r="D733" s="20"/>
      <c r="E733" s="20"/>
      <c r="F733" s="20"/>
      <c r="G733" s="20"/>
      <c r="H733" s="20"/>
      <c r="I733" s="20"/>
      <c r="J733" s="20"/>
      <c r="K733" s="20"/>
    </row>
    <row r="734" spans="2:11" ht="15">
      <c r="B734" s="17"/>
      <c r="C734" s="20"/>
      <c r="D734" s="20"/>
      <c r="E734" s="20"/>
      <c r="F734" s="20"/>
      <c r="G734" s="20"/>
      <c r="H734" s="20"/>
      <c r="I734" s="20"/>
      <c r="J734" s="20"/>
      <c r="K734" s="20"/>
    </row>
    <row r="735" spans="2:11" ht="15">
      <c r="B735" s="33"/>
      <c r="C735" s="20"/>
      <c r="D735" s="20"/>
      <c r="E735" s="20"/>
      <c r="F735" s="20"/>
      <c r="G735" s="20"/>
      <c r="H735" s="20"/>
      <c r="I735" s="20"/>
      <c r="J735" s="20"/>
      <c r="K735" s="20"/>
    </row>
    <row r="736" spans="2:11" ht="15">
      <c r="B736" s="18"/>
      <c r="C736" s="20"/>
      <c r="D736" s="20"/>
      <c r="E736" s="20"/>
      <c r="F736" s="20"/>
      <c r="G736" s="20"/>
      <c r="H736" s="20"/>
      <c r="I736" s="20"/>
      <c r="J736" s="20"/>
      <c r="K736" s="20"/>
    </row>
    <row r="737" spans="2:11" ht="15">
      <c r="B737" s="18"/>
      <c r="C737" s="20"/>
      <c r="D737" s="20"/>
      <c r="E737" s="20"/>
      <c r="F737" s="20"/>
      <c r="G737" s="20"/>
      <c r="H737" s="20"/>
      <c r="I737" s="20"/>
      <c r="J737" s="20"/>
      <c r="K737" s="20"/>
    </row>
    <row r="738" spans="2:11" ht="15">
      <c r="B738" s="13"/>
      <c r="C738" s="20"/>
      <c r="D738" s="20"/>
      <c r="E738" s="20"/>
      <c r="F738" s="20"/>
      <c r="G738" s="20"/>
      <c r="H738" s="20"/>
      <c r="I738" s="20"/>
      <c r="J738" s="20"/>
      <c r="K738" s="20"/>
    </row>
    <row r="739" spans="2:11" ht="15">
      <c r="B739" s="13"/>
      <c r="C739" s="20"/>
      <c r="D739" s="20"/>
      <c r="E739" s="20"/>
      <c r="F739" s="20"/>
      <c r="G739" s="20"/>
      <c r="H739" s="20"/>
      <c r="I739" s="20"/>
      <c r="J739" s="20"/>
      <c r="K739" s="20"/>
    </row>
    <row r="740" spans="2:11" ht="15">
      <c r="B740" s="13"/>
      <c r="C740" s="20"/>
      <c r="D740" s="20"/>
      <c r="E740" s="20"/>
      <c r="F740" s="20"/>
      <c r="G740" s="20"/>
      <c r="H740" s="20"/>
      <c r="I740" s="20"/>
      <c r="J740" s="20"/>
      <c r="K740" s="20"/>
    </row>
    <row r="741" spans="2:11" ht="15">
      <c r="B741" s="13"/>
      <c r="C741" s="20"/>
      <c r="D741" s="20"/>
      <c r="E741" s="20"/>
      <c r="F741" s="20"/>
      <c r="G741" s="20"/>
      <c r="H741" s="20"/>
      <c r="I741" s="20"/>
      <c r="J741" s="20"/>
      <c r="K741" s="20"/>
    </row>
    <row r="742" spans="2:11" ht="15">
      <c r="B742" s="13"/>
      <c r="C742" s="20"/>
      <c r="D742" s="20"/>
      <c r="E742" s="20"/>
      <c r="F742" s="20"/>
      <c r="G742" s="20"/>
      <c r="H742" s="20"/>
      <c r="I742" s="20"/>
      <c r="J742" s="20"/>
      <c r="K742" s="20"/>
    </row>
    <row r="743" spans="2:11" ht="15">
      <c r="B743" s="13"/>
      <c r="C743" s="20"/>
      <c r="D743" s="20"/>
      <c r="E743" s="20"/>
      <c r="F743" s="20"/>
      <c r="G743" s="20"/>
      <c r="H743" s="20"/>
      <c r="I743" s="20"/>
      <c r="J743" s="20"/>
      <c r="K743" s="20"/>
    </row>
    <row r="744" spans="2:11" ht="15">
      <c r="B744" s="13"/>
      <c r="C744" s="20"/>
      <c r="D744" s="20"/>
      <c r="E744" s="20"/>
      <c r="F744" s="20"/>
      <c r="G744" s="20"/>
      <c r="H744" s="20"/>
      <c r="I744" s="20"/>
      <c r="J744" s="20"/>
      <c r="K744" s="20"/>
    </row>
    <row r="745" spans="2:11" ht="15">
      <c r="B745" s="13"/>
      <c r="C745" s="20"/>
      <c r="D745" s="20"/>
      <c r="E745" s="20"/>
      <c r="F745" s="20"/>
      <c r="G745" s="20"/>
      <c r="H745" s="20"/>
      <c r="I745" s="20"/>
      <c r="J745" s="20"/>
      <c r="K745" s="20"/>
    </row>
    <row r="746" spans="2:11" ht="15">
      <c r="B746" s="13"/>
      <c r="C746" s="20"/>
      <c r="D746" s="20"/>
      <c r="E746" s="20"/>
      <c r="F746" s="20"/>
      <c r="G746" s="20"/>
      <c r="H746" s="20"/>
      <c r="I746" s="20"/>
      <c r="J746" s="20"/>
      <c r="K746" s="20"/>
    </row>
    <row r="747" spans="2:11" ht="15">
      <c r="B747" s="13"/>
      <c r="C747" s="20"/>
      <c r="D747" s="20"/>
      <c r="E747" s="20"/>
      <c r="F747" s="20"/>
      <c r="G747" s="20"/>
      <c r="H747" s="20"/>
      <c r="I747" s="20"/>
      <c r="J747" s="20"/>
      <c r="K747" s="20"/>
    </row>
    <row r="748" spans="2:11" ht="15">
      <c r="B748" s="13"/>
      <c r="C748" s="20"/>
      <c r="D748" s="20"/>
      <c r="E748" s="20"/>
      <c r="F748" s="20"/>
      <c r="G748" s="20"/>
      <c r="H748" s="20"/>
      <c r="I748" s="20"/>
      <c r="J748" s="20"/>
      <c r="K748" s="20"/>
    </row>
    <row r="749" spans="2:11" ht="15">
      <c r="B749" s="13"/>
      <c r="C749" s="20"/>
      <c r="D749" s="20"/>
      <c r="E749" s="20"/>
      <c r="F749" s="20"/>
      <c r="G749" s="20"/>
      <c r="H749" s="20"/>
      <c r="I749" s="20"/>
      <c r="J749" s="20"/>
      <c r="K749" s="20"/>
    </row>
    <row r="750" spans="2:11" ht="15">
      <c r="B750" s="13"/>
      <c r="C750" s="20"/>
      <c r="D750" s="20"/>
      <c r="E750" s="20"/>
      <c r="F750" s="20"/>
      <c r="G750" s="20"/>
      <c r="H750" s="20"/>
      <c r="I750" s="20"/>
      <c r="J750" s="20"/>
      <c r="K750" s="20"/>
    </row>
    <row r="751" spans="2:11" ht="18.75">
      <c r="B751" s="733"/>
      <c r="C751" s="733"/>
      <c r="D751" s="733"/>
      <c r="E751" s="733"/>
      <c r="F751" s="733"/>
      <c r="G751" s="733"/>
      <c r="H751" s="733"/>
      <c r="I751" s="733"/>
      <c r="J751" s="733"/>
      <c r="K751" s="26"/>
    </row>
    <row r="752" spans="2:11" ht="15">
      <c r="B752" s="27"/>
      <c r="C752" s="20"/>
      <c r="D752" s="20"/>
      <c r="E752" s="20"/>
      <c r="F752" s="20"/>
      <c r="G752" s="20"/>
      <c r="H752" s="20"/>
      <c r="I752" s="20"/>
      <c r="J752" s="20"/>
      <c r="K752" s="20"/>
    </row>
    <row r="753" spans="2:11" ht="15">
      <c r="B753" s="735"/>
      <c r="C753" s="735"/>
      <c r="D753" s="735"/>
      <c r="E753" s="735"/>
      <c r="F753" s="735"/>
      <c r="G753" s="735"/>
      <c r="H753" s="735"/>
      <c r="I753" s="735"/>
      <c r="J753" s="735"/>
      <c r="K753" s="26"/>
    </row>
    <row r="754" spans="2:11" ht="15">
      <c r="B754" s="28"/>
      <c r="C754" s="29"/>
      <c r="D754" s="29"/>
      <c r="E754" s="29"/>
      <c r="F754" s="29"/>
      <c r="G754" s="29"/>
      <c r="H754" s="29"/>
      <c r="I754" s="20"/>
      <c r="J754" s="20"/>
      <c r="K754" s="20"/>
    </row>
    <row r="755" spans="2:11" ht="15">
      <c r="B755" s="30"/>
      <c r="C755" s="20"/>
      <c r="D755" s="23"/>
      <c r="E755" s="20"/>
      <c r="F755" s="23"/>
      <c r="G755" s="20"/>
      <c r="H755" s="20"/>
      <c r="I755" s="20"/>
      <c r="J755" s="20"/>
      <c r="K755" s="20"/>
    </row>
    <row r="756" spans="2:11" ht="15">
      <c r="B756" s="21"/>
      <c r="C756" s="23"/>
      <c r="D756" s="23"/>
      <c r="E756" s="23"/>
      <c r="F756" s="23"/>
      <c r="G756" s="23"/>
      <c r="H756" s="23"/>
      <c r="I756" s="23"/>
      <c r="J756" s="23"/>
      <c r="K756" s="23"/>
    </row>
    <row r="757" spans="2:11" ht="15">
      <c r="B757" s="13"/>
      <c r="C757" s="23"/>
      <c r="D757" s="23"/>
      <c r="E757" s="32"/>
      <c r="F757" s="32"/>
      <c r="G757" s="32"/>
      <c r="H757" s="32"/>
      <c r="I757" s="32"/>
      <c r="J757" s="32"/>
      <c r="K757" s="32"/>
    </row>
    <row r="758" spans="2:11" ht="15">
      <c r="B758" s="13"/>
      <c r="C758" s="23"/>
      <c r="D758" s="20"/>
      <c r="E758" s="20"/>
      <c r="F758" s="20"/>
      <c r="G758" s="20"/>
      <c r="H758" s="20"/>
      <c r="I758" s="20"/>
      <c r="J758" s="20"/>
      <c r="K758" s="20"/>
    </row>
    <row r="759" spans="2:11" ht="15">
      <c r="B759" s="33"/>
      <c r="C759" s="20"/>
      <c r="D759" s="20"/>
      <c r="E759" s="20"/>
      <c r="F759" s="20"/>
      <c r="G759" s="20"/>
      <c r="H759" s="20"/>
      <c r="I759" s="20"/>
      <c r="J759" s="20"/>
      <c r="K759" s="20"/>
    </row>
    <row r="760" spans="2:11" ht="15">
      <c r="B760" s="34"/>
      <c r="C760" s="20"/>
      <c r="D760" s="20"/>
      <c r="E760" s="20"/>
      <c r="F760" s="20"/>
      <c r="G760" s="20"/>
      <c r="H760" s="20"/>
      <c r="I760" s="20"/>
      <c r="J760" s="20"/>
      <c r="K760" s="20"/>
    </row>
    <row r="761" spans="2:11" ht="15">
      <c r="B761" s="35"/>
      <c r="C761" s="20"/>
      <c r="D761" s="20"/>
      <c r="E761" s="20"/>
      <c r="F761" s="20"/>
      <c r="G761" s="20"/>
      <c r="H761" s="20"/>
      <c r="I761" s="20"/>
      <c r="J761" s="20"/>
      <c r="K761" s="20"/>
    </row>
    <row r="762" spans="2:11" ht="15">
      <c r="B762" s="16"/>
      <c r="C762" s="20"/>
      <c r="D762" s="20"/>
      <c r="E762" s="20"/>
      <c r="F762" s="20"/>
      <c r="G762" s="20"/>
      <c r="H762" s="20"/>
      <c r="I762" s="20"/>
      <c r="J762" s="20"/>
      <c r="K762" s="20"/>
    </row>
    <row r="763" spans="2:11" ht="15">
      <c r="B763" s="13"/>
      <c r="C763" s="20"/>
      <c r="D763" s="20"/>
      <c r="E763" s="20"/>
      <c r="F763" s="20"/>
      <c r="G763" s="20"/>
      <c r="H763" s="20"/>
      <c r="I763" s="20"/>
      <c r="J763" s="20"/>
      <c r="K763" s="20"/>
    </row>
    <row r="764" spans="2:11" ht="15">
      <c r="B764" s="33"/>
      <c r="C764" s="20"/>
      <c r="D764" s="20"/>
      <c r="E764" s="20"/>
      <c r="F764" s="20"/>
      <c r="G764" s="20"/>
      <c r="H764" s="20"/>
      <c r="I764" s="20"/>
      <c r="J764" s="20"/>
      <c r="K764" s="20"/>
    </row>
    <row r="765" spans="2:11" ht="15">
      <c r="B765" s="15"/>
      <c r="C765" s="20"/>
      <c r="D765" s="20"/>
      <c r="E765" s="20"/>
      <c r="F765" s="20"/>
      <c r="G765" s="20"/>
      <c r="H765" s="20"/>
      <c r="I765" s="20"/>
      <c r="J765" s="20"/>
      <c r="K765" s="20"/>
    </row>
    <row r="766" spans="2:11" ht="15">
      <c r="B766" s="15"/>
      <c r="C766" s="20"/>
      <c r="D766" s="20"/>
      <c r="E766" s="20"/>
      <c r="F766" s="20"/>
      <c r="G766" s="20"/>
      <c r="H766" s="20"/>
      <c r="I766" s="20"/>
      <c r="J766" s="20"/>
      <c r="K766" s="20"/>
    </row>
    <row r="767" spans="2:11" ht="15">
      <c r="B767" s="16"/>
      <c r="C767" s="20"/>
      <c r="D767" s="20"/>
      <c r="E767" s="20"/>
      <c r="F767" s="20"/>
      <c r="G767" s="20"/>
      <c r="H767" s="20"/>
      <c r="I767" s="20"/>
      <c r="J767" s="20"/>
      <c r="K767" s="20"/>
    </row>
    <row r="768" spans="2:11" ht="15">
      <c r="B768" s="16"/>
      <c r="C768" s="20"/>
      <c r="D768" s="20"/>
      <c r="E768" s="20"/>
      <c r="F768" s="20"/>
      <c r="G768" s="20"/>
      <c r="H768" s="20"/>
      <c r="I768" s="20"/>
      <c r="J768" s="20"/>
      <c r="K768" s="20"/>
    </row>
    <row r="769" spans="2:11" ht="15">
      <c r="B769" s="17"/>
      <c r="C769" s="20"/>
      <c r="D769" s="20"/>
      <c r="E769" s="20"/>
      <c r="F769" s="20"/>
      <c r="G769" s="20"/>
      <c r="H769" s="20"/>
      <c r="I769" s="20"/>
      <c r="J769" s="20"/>
      <c r="K769" s="20"/>
    </row>
    <row r="770" spans="2:11" ht="15">
      <c r="B770" s="17"/>
      <c r="C770" s="20"/>
      <c r="D770" s="20"/>
      <c r="E770" s="20"/>
      <c r="F770" s="20"/>
      <c r="G770" s="20"/>
      <c r="H770" s="20"/>
      <c r="I770" s="20"/>
      <c r="J770" s="20"/>
      <c r="K770" s="20"/>
    </row>
    <row r="771" spans="2:11" ht="15">
      <c r="B771" s="33"/>
      <c r="C771" s="20"/>
      <c r="D771" s="20"/>
      <c r="E771" s="20"/>
      <c r="F771" s="20"/>
      <c r="G771" s="20"/>
      <c r="H771" s="20"/>
      <c r="I771" s="20"/>
      <c r="J771" s="20"/>
      <c r="K771" s="20"/>
    </row>
    <row r="772" spans="2:11" ht="15">
      <c r="B772" s="18"/>
      <c r="C772" s="20"/>
      <c r="D772" s="20"/>
      <c r="E772" s="20"/>
      <c r="F772" s="20"/>
      <c r="G772" s="20"/>
      <c r="H772" s="20"/>
      <c r="I772" s="20"/>
      <c r="J772" s="20"/>
      <c r="K772" s="20"/>
    </row>
    <row r="773" spans="2:11" ht="15">
      <c r="B773" s="18"/>
      <c r="C773" s="20"/>
      <c r="D773" s="20"/>
      <c r="E773" s="20"/>
      <c r="F773" s="20"/>
      <c r="G773" s="20"/>
      <c r="H773" s="20"/>
      <c r="I773" s="20"/>
      <c r="J773" s="20"/>
      <c r="K773" s="20"/>
    </row>
    <row r="774" spans="2:11" ht="15">
      <c r="B774" s="13"/>
      <c r="C774" s="20"/>
      <c r="D774" s="20"/>
      <c r="E774" s="20"/>
      <c r="F774" s="20"/>
      <c r="G774" s="20"/>
      <c r="H774" s="20"/>
      <c r="I774" s="20"/>
      <c r="J774" s="20"/>
      <c r="K774" s="20"/>
    </row>
    <row r="775" spans="2:11" ht="15">
      <c r="B775" s="13"/>
      <c r="C775" s="20"/>
      <c r="D775" s="20"/>
      <c r="E775" s="20"/>
      <c r="F775" s="20"/>
      <c r="G775" s="20"/>
      <c r="H775" s="20"/>
      <c r="I775" s="20"/>
      <c r="J775" s="20"/>
      <c r="K775" s="20"/>
    </row>
    <row r="776" spans="2:11" ht="15">
      <c r="B776" s="13"/>
      <c r="C776" s="20"/>
      <c r="D776" s="20"/>
      <c r="E776" s="20"/>
      <c r="F776" s="20"/>
      <c r="G776" s="20"/>
      <c r="H776" s="20"/>
      <c r="I776" s="20"/>
      <c r="J776" s="20"/>
      <c r="K776" s="20"/>
    </row>
    <row r="777" spans="2:11" ht="15">
      <c r="B777" s="13"/>
      <c r="C777" s="20"/>
      <c r="D777" s="20"/>
      <c r="E777" s="20"/>
      <c r="F777" s="20"/>
      <c r="G777" s="20"/>
      <c r="H777" s="20"/>
      <c r="I777" s="20"/>
      <c r="J777" s="20"/>
      <c r="K777" s="20"/>
    </row>
    <row r="778" spans="2:11" ht="15">
      <c r="B778" s="13"/>
      <c r="C778" s="20"/>
      <c r="D778" s="20"/>
      <c r="E778" s="20"/>
      <c r="F778" s="20"/>
      <c r="G778" s="20"/>
      <c r="H778" s="20"/>
      <c r="I778" s="20"/>
      <c r="J778" s="20"/>
      <c r="K778" s="20"/>
    </row>
    <row r="779" spans="2:11" ht="15">
      <c r="B779" s="13"/>
      <c r="C779" s="20"/>
      <c r="D779" s="20"/>
      <c r="E779" s="20"/>
      <c r="F779" s="20"/>
      <c r="G779" s="20"/>
      <c r="H779" s="20"/>
      <c r="I779" s="20"/>
      <c r="J779" s="20"/>
      <c r="K779" s="20"/>
    </row>
    <row r="780" spans="2:11" ht="15">
      <c r="B780" s="13"/>
      <c r="C780" s="20"/>
      <c r="D780" s="20"/>
      <c r="E780" s="20"/>
      <c r="F780" s="20"/>
      <c r="G780" s="20"/>
      <c r="H780" s="20"/>
      <c r="I780" s="20"/>
      <c r="J780" s="20"/>
      <c r="K780" s="20"/>
    </row>
    <row r="781" spans="2:11" ht="15">
      <c r="B781" s="13"/>
      <c r="C781" s="20"/>
      <c r="D781" s="20"/>
      <c r="E781" s="20"/>
      <c r="F781" s="20"/>
      <c r="G781" s="20"/>
      <c r="H781" s="20"/>
      <c r="I781" s="20"/>
      <c r="J781" s="20"/>
      <c r="K781" s="20"/>
    </row>
    <row r="782" spans="2:11" ht="15">
      <c r="B782" s="13"/>
      <c r="C782" s="20"/>
      <c r="D782" s="20"/>
      <c r="E782" s="20"/>
      <c r="F782" s="20"/>
      <c r="G782" s="20"/>
      <c r="H782" s="20"/>
      <c r="I782" s="20"/>
      <c r="J782" s="20"/>
      <c r="K782" s="20"/>
    </row>
    <row r="783" spans="2:11" ht="15">
      <c r="B783" s="13"/>
      <c r="C783" s="20"/>
      <c r="D783" s="20"/>
      <c r="E783" s="20"/>
      <c r="F783" s="20"/>
      <c r="G783" s="20"/>
      <c r="H783" s="20"/>
      <c r="I783" s="20"/>
      <c r="J783" s="20"/>
      <c r="K783" s="20"/>
    </row>
    <row r="784" spans="2:11" ht="15">
      <c r="B784" s="13"/>
      <c r="C784" s="20"/>
      <c r="D784" s="20"/>
      <c r="E784" s="20"/>
      <c r="F784" s="20"/>
      <c r="G784" s="20"/>
      <c r="H784" s="20"/>
      <c r="I784" s="20"/>
      <c r="J784" s="20"/>
      <c r="K784" s="20"/>
    </row>
    <row r="785" spans="2:11" ht="15">
      <c r="B785" s="13"/>
      <c r="C785" s="20"/>
      <c r="D785" s="20"/>
      <c r="E785" s="20"/>
      <c r="F785" s="20"/>
      <c r="G785" s="20"/>
      <c r="H785" s="20"/>
      <c r="I785" s="20"/>
      <c r="J785" s="20"/>
      <c r="K785" s="20"/>
    </row>
  </sheetData>
  <mergeCells count="40">
    <mergeCell ref="B515:J518"/>
    <mergeCell ref="B300:J300"/>
    <mergeCell ref="B67:K67"/>
    <mergeCell ref="B69:K70"/>
    <mergeCell ref="B302:J303"/>
    <mergeCell ref="B338:J338"/>
    <mergeCell ref="B340:J341"/>
    <mergeCell ref="B386:J386"/>
    <mergeCell ref="B388:J389"/>
    <mergeCell ref="B432:J432"/>
    <mergeCell ref="B434:J436"/>
    <mergeCell ref="B468:J468"/>
    <mergeCell ref="B470:J473"/>
    <mergeCell ref="B513:J513"/>
    <mergeCell ref="B225:J226"/>
    <mergeCell ref="B260:J260"/>
    <mergeCell ref="B753:J753"/>
    <mergeCell ref="B553:J553"/>
    <mergeCell ref="B555:J557"/>
    <mergeCell ref="B602:J602"/>
    <mergeCell ref="B604:J605"/>
    <mergeCell ref="B639:J639"/>
    <mergeCell ref="B641:J642"/>
    <mergeCell ref="B677:J677"/>
    <mergeCell ref="B679:J680"/>
    <mergeCell ref="B714:J714"/>
    <mergeCell ref="B716:J717"/>
    <mergeCell ref="B751:J751"/>
    <mergeCell ref="B262:J262"/>
    <mergeCell ref="B134:K134"/>
    <mergeCell ref="B136:K137"/>
    <mergeCell ref="B168:K168"/>
    <mergeCell ref="B170:K171"/>
    <mergeCell ref="B1:K1"/>
    <mergeCell ref="B3:K5"/>
    <mergeCell ref="B35:K35"/>
    <mergeCell ref="B37:K39"/>
    <mergeCell ref="B223:J223"/>
    <mergeCell ref="B101:K101"/>
    <mergeCell ref="B103:K106"/>
  </mergeCells>
  <pageMargins left="0" right="0" top="0.5" bottom="0.25" header="0" footer="0"/>
  <pageSetup scale="92" orientation="landscape" r:id="rId1"/>
  <rowBreaks count="19" manualBreakCount="19">
    <brk id="33" max="16383" man="1"/>
    <brk id="65" max="16383" man="1"/>
    <brk id="99" max="10" man="1"/>
    <brk id="132" max="10" man="1"/>
    <brk id="166" max="16383" man="1"/>
    <brk id="221" max="16383" man="1"/>
    <brk id="259" max="16383" man="1"/>
    <brk id="298" max="16383" man="1"/>
    <brk id="336" max="16383" man="1"/>
    <brk id="384" max="16383" man="1"/>
    <brk id="430" max="16383" man="1"/>
    <brk id="466" max="16383" man="1"/>
    <brk id="511" max="16383" man="1"/>
    <brk id="551" max="16383" man="1"/>
    <brk id="600" max="16383" man="1"/>
    <brk id="637" max="16383" man="1"/>
    <brk id="675" max="16383" man="1"/>
    <brk id="712" max="16383" man="1"/>
    <brk id="749" max="16383" man="1"/>
  </rowBreaks>
  <drawing r:id="rId2"/>
</worksheet>
</file>

<file path=xl/worksheets/sheet6.xml><?xml version="1.0" encoding="utf-8"?>
<worksheet xmlns="http://schemas.openxmlformats.org/spreadsheetml/2006/main" xmlns:r="http://schemas.openxmlformats.org/officeDocument/2006/relationships">
  <dimension ref="A1:L84"/>
  <sheetViews>
    <sheetView zoomScaleNormal="100" zoomScaleSheetLayoutView="100" workbookViewId="0">
      <selection activeCell="O16" sqref="O16"/>
    </sheetView>
  </sheetViews>
  <sheetFormatPr defaultRowHeight="12.75"/>
  <cols>
    <col min="1" max="1" width="3.7109375" customWidth="1"/>
    <col min="2" max="2" width="33" customWidth="1"/>
    <col min="3" max="4" width="12.7109375" style="24" customWidth="1"/>
    <col min="5" max="11" width="12.7109375" style="25" customWidth="1"/>
    <col min="12" max="12" width="9.140625" style="720"/>
  </cols>
  <sheetData>
    <row r="1" spans="1:12" s="134" customFormat="1" ht="18.75">
      <c r="A1" s="151"/>
      <c r="B1" s="737" t="s">
        <v>1039</v>
      </c>
      <c r="C1" s="737"/>
      <c r="D1" s="737"/>
      <c r="E1" s="737"/>
      <c r="F1" s="737"/>
      <c r="G1" s="737"/>
      <c r="H1" s="737"/>
      <c r="I1" s="737"/>
      <c r="J1" s="737"/>
      <c r="K1" s="737"/>
      <c r="L1" s="720"/>
    </row>
    <row r="2" spans="1:12" s="134" customFormat="1" ht="15" customHeight="1">
      <c r="A2" s="151"/>
      <c r="B2" s="65"/>
      <c r="C2" s="3"/>
      <c r="D2" s="2"/>
      <c r="E2" s="2"/>
      <c r="F2" s="2"/>
      <c r="G2" s="2"/>
      <c r="H2" s="2"/>
      <c r="I2" s="2"/>
      <c r="J2" s="2"/>
      <c r="K2" s="2"/>
      <c r="L2" s="720"/>
    </row>
    <row r="3" spans="1:12" s="134" customFormat="1" ht="12.75" customHeight="1">
      <c r="A3" s="151"/>
      <c r="B3" s="731" t="s">
        <v>1289</v>
      </c>
      <c r="C3" s="731"/>
      <c r="D3" s="731"/>
      <c r="E3" s="731"/>
      <c r="F3" s="731"/>
      <c r="G3" s="731"/>
      <c r="H3" s="731"/>
      <c r="I3" s="731"/>
      <c r="J3" s="731"/>
      <c r="K3" s="731"/>
      <c r="L3" s="720"/>
    </row>
    <row r="4" spans="1:12" s="134" customFormat="1" ht="12.75" customHeight="1">
      <c r="A4" s="151"/>
      <c r="B4" s="731"/>
      <c r="C4" s="731"/>
      <c r="D4" s="731"/>
      <c r="E4" s="731"/>
      <c r="F4" s="731"/>
      <c r="G4" s="731"/>
      <c r="H4" s="731"/>
      <c r="I4" s="731"/>
      <c r="J4" s="731"/>
      <c r="K4" s="731"/>
      <c r="L4" s="720"/>
    </row>
    <row r="5" spans="1:12" s="134" customFormat="1" ht="12.75" customHeight="1">
      <c r="A5" s="151"/>
      <c r="B5" s="731"/>
      <c r="C5" s="731"/>
      <c r="D5" s="731"/>
      <c r="E5" s="731"/>
      <c r="F5" s="731"/>
      <c r="G5" s="731"/>
      <c r="H5" s="731"/>
      <c r="I5" s="731"/>
      <c r="J5" s="731"/>
      <c r="K5" s="731"/>
      <c r="L5" s="720"/>
    </row>
    <row r="6" spans="1:12" s="134" customFormat="1" ht="15" customHeight="1">
      <c r="A6" s="151"/>
      <c r="B6" s="731"/>
      <c r="C6" s="731"/>
      <c r="D6" s="731"/>
      <c r="E6" s="731"/>
      <c r="F6" s="731"/>
      <c r="G6" s="731"/>
      <c r="H6" s="731"/>
      <c r="I6" s="731"/>
      <c r="J6" s="731"/>
      <c r="K6" s="731"/>
      <c r="L6" s="720"/>
    </row>
    <row r="7" spans="1:12" s="134" customFormat="1" ht="12" customHeight="1">
      <c r="A7" s="151"/>
      <c r="B7" s="486"/>
      <c r="C7" s="22"/>
      <c r="D7" s="22"/>
      <c r="E7" s="22"/>
      <c r="F7" s="22"/>
      <c r="G7" s="22"/>
      <c r="H7" s="2"/>
      <c r="I7" s="2"/>
      <c r="J7" s="2"/>
      <c r="K7" s="2"/>
      <c r="L7" s="720"/>
    </row>
    <row r="8" spans="1:12" s="134" customFormat="1" ht="15">
      <c r="A8" s="151"/>
      <c r="B8" s="5"/>
      <c r="C8" s="65"/>
      <c r="D8" s="66"/>
      <c r="E8" s="65" t="s">
        <v>270</v>
      </c>
      <c r="F8" s="1"/>
      <c r="G8" s="1"/>
      <c r="H8" s="1"/>
      <c r="I8" s="1"/>
      <c r="J8" s="1"/>
      <c r="K8" s="1"/>
      <c r="L8" s="720"/>
    </row>
    <row r="9" spans="1:12" s="134" customFormat="1" ht="15">
      <c r="A9" s="151"/>
      <c r="B9" s="66"/>
      <c r="C9" s="65" t="s">
        <v>257</v>
      </c>
      <c r="D9" s="49" t="s">
        <v>258</v>
      </c>
      <c r="E9" s="66" t="s">
        <v>832</v>
      </c>
      <c r="F9" s="66" t="s">
        <v>270</v>
      </c>
      <c r="G9" s="66" t="s">
        <v>271</v>
      </c>
      <c r="H9" s="66" t="s">
        <v>272</v>
      </c>
      <c r="I9" s="66" t="s">
        <v>996</v>
      </c>
      <c r="J9" s="66" t="s">
        <v>1101</v>
      </c>
      <c r="K9" s="66" t="s">
        <v>1136</v>
      </c>
      <c r="L9" s="720"/>
    </row>
    <row r="10" spans="1:12" s="134" customFormat="1" ht="15.75" thickBot="1">
      <c r="A10" s="151"/>
      <c r="B10" s="169"/>
      <c r="C10" s="68" t="s">
        <v>1</v>
      </c>
      <c r="D10" s="68" t="s">
        <v>1</v>
      </c>
      <c r="E10" s="68" t="s">
        <v>787</v>
      </c>
      <c r="F10" s="68" t="s">
        <v>19</v>
      </c>
      <c r="G10" s="68" t="s">
        <v>832</v>
      </c>
      <c r="H10" s="68" t="s">
        <v>19</v>
      </c>
      <c r="I10" s="68" t="s">
        <v>19</v>
      </c>
      <c r="J10" s="68" t="s">
        <v>19</v>
      </c>
      <c r="K10" s="68" t="s">
        <v>19</v>
      </c>
      <c r="L10" s="720"/>
    </row>
    <row r="11" spans="1:12" s="134" customFormat="1" ht="7.5" customHeight="1">
      <c r="A11" s="151"/>
      <c r="B11" s="64"/>
      <c r="C11" s="170"/>
      <c r="D11" s="2"/>
      <c r="E11" s="2"/>
      <c r="F11" s="2"/>
      <c r="G11" s="2"/>
      <c r="H11" s="2"/>
      <c r="I11" s="2"/>
      <c r="J11" s="2"/>
      <c r="K11" s="2"/>
      <c r="L11" s="720"/>
    </row>
    <row r="12" spans="1:12" s="134" customFormat="1" ht="15">
      <c r="A12" s="151"/>
      <c r="B12" s="158" t="s">
        <v>833</v>
      </c>
      <c r="C12" s="2"/>
      <c r="D12" s="2"/>
      <c r="E12" s="2"/>
      <c r="F12" s="2"/>
      <c r="G12" s="2"/>
      <c r="H12" s="2"/>
      <c r="I12" s="2"/>
      <c r="J12" s="2"/>
      <c r="K12" s="2"/>
      <c r="L12" s="720"/>
    </row>
    <row r="13" spans="1:12" s="134" customFormat="1" ht="20.100000000000001" customHeight="1">
      <c r="A13" s="151"/>
      <c r="B13" s="507" t="s">
        <v>836</v>
      </c>
      <c r="C13" s="2">
        <f>SUM('Budget Detail FY 2013-20'!L450:L455)</f>
        <v>84459</v>
      </c>
      <c r="D13" s="2">
        <f>SUM('Budget Detail FY 2013-20'!M450:M455)</f>
        <v>76414</v>
      </c>
      <c r="E13" s="2">
        <f>SUM('Budget Detail FY 2013-20'!N450:N455)</f>
        <v>49275</v>
      </c>
      <c r="F13" s="2">
        <f>SUM('Budget Detail FY 2013-20'!O450:O455)</f>
        <v>49275</v>
      </c>
      <c r="G13" s="2">
        <f>SUM('Budget Detail FY 2013-20'!P450:P455)</f>
        <v>49275</v>
      </c>
      <c r="H13" s="2">
        <f>SUM('Budget Detail FY 2013-20'!Q450:Q455)</f>
        <v>49275</v>
      </c>
      <c r="I13" s="2">
        <f>SUM('Budget Detail FY 2013-20'!R450:R455)</f>
        <v>49275</v>
      </c>
      <c r="J13" s="2">
        <f>SUM('Budget Detail FY 2013-20'!S450:S455)</f>
        <v>49275</v>
      </c>
      <c r="K13" s="2">
        <f>SUM('Budget Detail FY 2013-20'!T450:T455)</f>
        <v>49275</v>
      </c>
      <c r="L13" s="720"/>
    </row>
    <row r="14" spans="1:12" ht="20.100000000000001" customHeight="1">
      <c r="A14" s="151"/>
      <c r="B14" s="507" t="s">
        <v>837</v>
      </c>
      <c r="C14" s="2">
        <f>SUM('Budget Detail FY 2013-20'!L456:L458)</f>
        <v>16739</v>
      </c>
      <c r="D14" s="2">
        <f>SUM('Budget Detail FY 2013-20'!M456:M458)</f>
        <v>8253</v>
      </c>
      <c r="E14" s="2">
        <f>SUM('Budget Detail FY 2013-20'!N456:N458)</f>
        <v>10750</v>
      </c>
      <c r="F14" s="2">
        <f>SUM('Budget Detail FY 2013-20'!O456:O458)</f>
        <v>12750</v>
      </c>
      <c r="G14" s="2">
        <f>SUM('Budget Detail FY 2013-20'!P456:P458)</f>
        <v>12750</v>
      </c>
      <c r="H14" s="2">
        <f>SUM('Budget Detail FY 2013-20'!Q456:Q458)</f>
        <v>12750</v>
      </c>
      <c r="I14" s="2">
        <f>SUM('Budget Detail FY 2013-20'!R456:R458)</f>
        <v>12750</v>
      </c>
      <c r="J14" s="2">
        <f>SUM('Budget Detail FY 2013-20'!S456:S458)</f>
        <v>12750</v>
      </c>
      <c r="K14" s="2">
        <f>SUM('Budget Detail FY 2013-20'!T456:T458)</f>
        <v>12750</v>
      </c>
    </row>
    <row r="15" spans="1:12" ht="20.100000000000001" customHeight="1">
      <c r="A15" s="151"/>
      <c r="B15" s="507" t="s">
        <v>838</v>
      </c>
      <c r="C15" s="2">
        <f>SUM('Budget Detail FY 2013-20'!L459:L462)</f>
        <v>6725</v>
      </c>
      <c r="D15" s="2">
        <f>SUM('Budget Detail FY 2013-20'!M459:M462)</f>
        <v>157495</v>
      </c>
      <c r="E15" s="2">
        <f>SUM('Budget Detail FY 2013-20'!N459:N462)</f>
        <v>262078</v>
      </c>
      <c r="F15" s="2">
        <f>SUM('Budget Detail FY 2013-20'!O459:O462)</f>
        <v>257439</v>
      </c>
      <c r="G15" s="2">
        <f>SUM('Budget Detail FY 2013-20'!P459:P462)</f>
        <v>373063</v>
      </c>
      <c r="H15" s="2">
        <f>SUM('Budget Detail FY 2013-20'!Q459:Q462)</f>
        <v>194232</v>
      </c>
      <c r="I15" s="2">
        <f>SUM('Budget Detail FY 2013-20'!R459:R462)</f>
        <v>194232</v>
      </c>
      <c r="J15" s="2">
        <f>SUM('Budget Detail FY 2013-20'!S459:S462)</f>
        <v>194232</v>
      </c>
      <c r="K15" s="2">
        <f>SUM('Budget Detail FY 2013-20'!T459:T462)</f>
        <v>194232</v>
      </c>
    </row>
    <row r="16" spans="1:12" ht="20.100000000000001" customHeight="1">
      <c r="A16" s="151"/>
      <c r="B16" s="507" t="s">
        <v>839</v>
      </c>
      <c r="C16" s="2">
        <f>SUM('Budget Detail FY 2013-20'!L463:L465)</f>
        <v>567</v>
      </c>
      <c r="D16" s="2">
        <f>SUM('Budget Detail FY 2013-20'!M463:M465)</f>
        <v>446</v>
      </c>
      <c r="E16" s="2">
        <f>SUM('Budget Detail FY 2013-20'!N463:N465)</f>
        <v>450</v>
      </c>
      <c r="F16" s="2">
        <f>SUM('Budget Detail FY 2013-20'!O463:O465)</f>
        <v>275</v>
      </c>
      <c r="G16" s="2">
        <f>SUM('Budget Detail FY 2013-20'!P463:P465)</f>
        <v>250</v>
      </c>
      <c r="H16" s="2">
        <f>SUM('Budget Detail FY 2013-20'!Q463:Q465)</f>
        <v>250</v>
      </c>
      <c r="I16" s="2">
        <f>SUM('Budget Detail FY 2013-20'!R463:R465)</f>
        <v>250</v>
      </c>
      <c r="J16" s="2">
        <f>SUM('Budget Detail FY 2013-20'!S463:S465)</f>
        <v>250</v>
      </c>
      <c r="K16" s="2">
        <f>SUM('Budget Detail FY 2013-20'!T463:T465)</f>
        <v>250</v>
      </c>
    </row>
    <row r="17" spans="1:12" ht="20.100000000000001" customHeight="1">
      <c r="A17" s="151"/>
      <c r="B17" s="507" t="s">
        <v>840</v>
      </c>
      <c r="C17" s="2">
        <f>'Budget Detail FY 2013-20'!L466</f>
        <v>0</v>
      </c>
      <c r="D17" s="2">
        <f>'Budget Detail FY 2013-20'!M466</f>
        <v>50000</v>
      </c>
      <c r="E17" s="2">
        <f>'Budget Detail FY 2013-20'!N466</f>
        <v>50000</v>
      </c>
      <c r="F17" s="2">
        <f>'Budget Detail FY 2013-20'!O466</f>
        <v>99000</v>
      </c>
      <c r="G17" s="2">
        <f>'Budget Detail FY 2013-20'!P466</f>
        <v>0</v>
      </c>
      <c r="H17" s="2">
        <f>'Budget Detail FY 2013-20'!Q466</f>
        <v>0</v>
      </c>
      <c r="I17" s="2">
        <f>'Budget Detail FY 2013-20'!R466</f>
        <v>0</v>
      </c>
      <c r="J17" s="2">
        <f>'Budget Detail FY 2013-20'!S466</f>
        <v>0</v>
      </c>
      <c r="K17" s="2">
        <f>'Budget Detail FY 2013-20'!T466</f>
        <v>0</v>
      </c>
    </row>
    <row r="18" spans="1:12" ht="20.100000000000001" customHeight="1">
      <c r="A18" s="151"/>
      <c r="B18" s="507" t="s">
        <v>841</v>
      </c>
      <c r="C18" s="2">
        <f>SUM('Budget Detail FY 2013-20'!L467:L468)</f>
        <v>966</v>
      </c>
      <c r="D18" s="2">
        <f>SUM('Budget Detail FY 2013-20'!M467:M468)</f>
        <v>4994</v>
      </c>
      <c r="E18" s="2">
        <f>SUM('Budget Detail FY 2013-20'!N467:N468)</f>
        <v>1000</v>
      </c>
      <c r="F18" s="2">
        <f>SUM('Budget Detail FY 2013-20'!O467:O468)</f>
        <v>1721</v>
      </c>
      <c r="G18" s="2">
        <f>SUM('Budget Detail FY 2013-20'!P467:P468)</f>
        <v>1000</v>
      </c>
      <c r="H18" s="2">
        <f>SUM('Budget Detail FY 2013-20'!Q467:Q468)</f>
        <v>1000</v>
      </c>
      <c r="I18" s="2">
        <f>SUM('Budget Detail FY 2013-20'!R467:R468)</f>
        <v>1000</v>
      </c>
      <c r="J18" s="2">
        <f>SUM('Budget Detail FY 2013-20'!S467:S468)</f>
        <v>1000</v>
      </c>
      <c r="K18" s="2">
        <f>SUM('Budget Detail FY 2013-20'!T467:T468)</f>
        <v>1000</v>
      </c>
    </row>
    <row r="19" spans="1:12" ht="20.100000000000001" customHeight="1">
      <c r="A19" s="151"/>
      <c r="B19" s="507" t="s">
        <v>842</v>
      </c>
      <c r="C19" s="2">
        <f>SUM('Budget Detail FY 2013-20'!L469:L471)</f>
        <v>2700</v>
      </c>
      <c r="D19" s="2">
        <f>SUM('Budget Detail FY 2013-20'!M469:M471)</f>
        <v>7825</v>
      </c>
      <c r="E19" s="2">
        <f>SUM('Budget Detail FY 2013-20'!N469:N471)</f>
        <v>61000</v>
      </c>
      <c r="F19" s="2">
        <f>SUM('Budget Detail FY 2013-20'!O469:O471)</f>
        <v>61000</v>
      </c>
      <c r="G19" s="2">
        <f>SUM('Budget Detail FY 2013-20'!P469:P471)</f>
        <v>36000</v>
      </c>
      <c r="H19" s="2">
        <f>SUM('Budget Detail FY 2013-20'!Q469:Q471)</f>
        <v>1000</v>
      </c>
      <c r="I19" s="2">
        <f>SUM('Budget Detail FY 2013-20'!R469:R471)</f>
        <v>1000</v>
      </c>
      <c r="J19" s="2">
        <f>SUM('Budget Detail FY 2013-20'!S469:S471)</f>
        <v>1000</v>
      </c>
      <c r="K19" s="2">
        <f>SUM('Budget Detail FY 2013-20'!T469:T471)</f>
        <v>1000</v>
      </c>
    </row>
    <row r="20" spans="1:12" ht="20.100000000000001" customHeight="1" thickBot="1">
      <c r="A20" s="151"/>
      <c r="B20" s="153" t="s">
        <v>843</v>
      </c>
      <c r="C20" s="150">
        <f>SUM(C13:C19)</f>
        <v>112156</v>
      </c>
      <c r="D20" s="150">
        <f t="shared" ref="D20:K20" si="0">SUM(D13:D19)</f>
        <v>305427</v>
      </c>
      <c r="E20" s="150">
        <f t="shared" si="0"/>
        <v>434553</v>
      </c>
      <c r="F20" s="150">
        <f t="shared" si="0"/>
        <v>481460</v>
      </c>
      <c r="G20" s="150">
        <f t="shared" si="0"/>
        <v>472338</v>
      </c>
      <c r="H20" s="150">
        <f t="shared" si="0"/>
        <v>258507</v>
      </c>
      <c r="I20" s="150">
        <f t="shared" si="0"/>
        <v>258507</v>
      </c>
      <c r="J20" s="150">
        <f t="shared" si="0"/>
        <v>258507</v>
      </c>
      <c r="K20" s="150">
        <f t="shared" si="0"/>
        <v>258507</v>
      </c>
    </row>
    <row r="21" spans="1:12" s="128" customFormat="1" ht="15" hidden="1">
      <c r="A21" s="154"/>
      <c r="B21" s="155"/>
      <c r="C21" s="132">
        <f>'Budget Detail FY 2013-20'!L473</f>
        <v>112156</v>
      </c>
      <c r="D21" s="132">
        <f>'Budget Detail FY 2013-20'!M473</f>
        <v>305427</v>
      </c>
      <c r="E21" s="132">
        <f>'Budget Detail FY 2013-20'!N473</f>
        <v>434553</v>
      </c>
      <c r="F21" s="132">
        <f>'Budget Detail FY 2013-20'!O473</f>
        <v>481460</v>
      </c>
      <c r="G21" s="132">
        <f>'Budget Detail FY 2013-20'!P473</f>
        <v>472338</v>
      </c>
      <c r="H21" s="132">
        <f>'Budget Detail FY 2013-20'!Q473</f>
        <v>258507</v>
      </c>
      <c r="I21" s="132">
        <f>'Budget Detail FY 2013-20'!R473</f>
        <v>258507</v>
      </c>
      <c r="J21" s="132">
        <f>'Budget Detail FY 2013-20'!S473</f>
        <v>258507</v>
      </c>
      <c r="K21" s="132">
        <f>'Budget Detail FY 2013-20'!T473</f>
        <v>258507</v>
      </c>
      <c r="L21" s="721" t="s">
        <v>1150</v>
      </c>
    </row>
    <row r="22" spans="1:12" s="131" customFormat="1" ht="14.25" hidden="1">
      <c r="A22" s="156"/>
      <c r="B22" s="157"/>
      <c r="C22" s="133">
        <f>C20-C21</f>
        <v>0</v>
      </c>
      <c r="D22" s="133">
        <f t="shared" ref="D22:K22" si="1">D20-D21</f>
        <v>0</v>
      </c>
      <c r="E22" s="133">
        <f t="shared" si="1"/>
        <v>0</v>
      </c>
      <c r="F22" s="133">
        <f t="shared" si="1"/>
        <v>0</v>
      </c>
      <c r="G22" s="133">
        <f t="shared" si="1"/>
        <v>0</v>
      </c>
      <c r="H22" s="133">
        <f t="shared" si="1"/>
        <v>0</v>
      </c>
      <c r="I22" s="133">
        <f t="shared" si="1"/>
        <v>0</v>
      </c>
      <c r="J22" s="133">
        <f t="shared" si="1"/>
        <v>0</v>
      </c>
      <c r="K22" s="133">
        <f t="shared" si="1"/>
        <v>0</v>
      </c>
      <c r="L22" s="721" t="s">
        <v>1151</v>
      </c>
    </row>
    <row r="23" spans="1:12" ht="7.5" customHeight="1">
      <c r="A23" s="151"/>
      <c r="B23" s="1"/>
      <c r="C23" s="2"/>
      <c r="D23" s="2"/>
      <c r="E23" s="2"/>
      <c r="F23" s="2"/>
      <c r="G23" s="2"/>
      <c r="H23" s="2"/>
      <c r="I23" s="2"/>
      <c r="J23" s="2"/>
      <c r="K23" s="2"/>
    </row>
    <row r="24" spans="1:12" ht="15">
      <c r="A24" s="151"/>
      <c r="B24" s="158" t="s">
        <v>1042</v>
      </c>
      <c r="C24" s="2"/>
      <c r="D24" s="2"/>
      <c r="E24" s="2"/>
      <c r="F24" s="2"/>
      <c r="G24" s="2"/>
      <c r="H24" s="2"/>
      <c r="I24" s="2"/>
      <c r="J24" s="2"/>
      <c r="K24" s="2"/>
    </row>
    <row r="25" spans="1:12" ht="20.100000000000001" customHeight="1">
      <c r="A25" s="151"/>
      <c r="B25" s="508" t="s">
        <v>846</v>
      </c>
      <c r="C25" s="2">
        <f>SUM('Budget Detail FY 2013-20'!L476:L478)</f>
        <v>17710</v>
      </c>
      <c r="D25" s="2">
        <f>SUM('Budget Detail FY 2013-20'!M476:M478)</f>
        <v>22521</v>
      </c>
      <c r="E25" s="2">
        <f>SUM('Budget Detail FY 2013-20'!N476:N478)</f>
        <v>17667</v>
      </c>
      <c r="F25" s="2">
        <f>SUM('Budget Detail FY 2013-20'!O476:O478)</f>
        <v>17667</v>
      </c>
      <c r="G25" s="2">
        <f>SUM('Budget Detail FY 2013-20'!P476:P478)</f>
        <v>17667</v>
      </c>
      <c r="H25" s="2">
        <f>SUM('Budget Detail FY 2013-20'!Q476:Q478)</f>
        <v>17667</v>
      </c>
      <c r="I25" s="2">
        <f>SUM('Budget Detail FY 2013-20'!R476:R478)</f>
        <v>17667</v>
      </c>
      <c r="J25" s="2">
        <f>SUM('Budget Detail FY 2013-20'!S476:S478)</f>
        <v>17667</v>
      </c>
      <c r="K25" s="2">
        <f>SUM('Budget Detail FY 2013-20'!T476:T478)</f>
        <v>17667</v>
      </c>
    </row>
    <row r="26" spans="1:12" ht="20.100000000000001" customHeight="1">
      <c r="A26" s="151"/>
      <c r="B26" s="508" t="s">
        <v>848</v>
      </c>
      <c r="C26" s="2">
        <f>SUM('Budget Detail FY 2013-20'!L479:L480)</f>
        <v>145176</v>
      </c>
      <c r="D26" s="2">
        <f>SUM('Budget Detail FY 2013-20'!M479:M480)</f>
        <v>93750</v>
      </c>
      <c r="E26" s="2">
        <f>SUM('Budget Detail FY 2013-20'!N479:N480)</f>
        <v>110000</v>
      </c>
      <c r="F26" s="2">
        <f>SUM('Budget Detail FY 2013-20'!O479:O480)</f>
        <v>112242</v>
      </c>
      <c r="G26" s="2">
        <f>SUM('Budget Detail FY 2013-20'!P479:P480)</f>
        <v>204000</v>
      </c>
      <c r="H26" s="2">
        <f>SUM('Budget Detail FY 2013-20'!Q479:Q480)</f>
        <v>159000</v>
      </c>
      <c r="I26" s="2">
        <f>SUM('Budget Detail FY 2013-20'!R479:R480)</f>
        <v>159000</v>
      </c>
      <c r="J26" s="2">
        <f>SUM('Budget Detail FY 2013-20'!S479:S480)</f>
        <v>159000</v>
      </c>
      <c r="K26" s="2">
        <f>SUM('Budget Detail FY 2013-20'!T479:T480)</f>
        <v>159000</v>
      </c>
    </row>
    <row r="27" spans="1:12" ht="20.100000000000001" customHeight="1" thickBot="1">
      <c r="A27" s="151"/>
      <c r="B27" s="153" t="s">
        <v>1047</v>
      </c>
      <c r="C27" s="177">
        <f t="shared" ref="C27:K27" si="2">SUM(C25:C26)</f>
        <v>162886</v>
      </c>
      <c r="D27" s="177">
        <f t="shared" si="2"/>
        <v>116271</v>
      </c>
      <c r="E27" s="177">
        <f t="shared" si="2"/>
        <v>127667</v>
      </c>
      <c r="F27" s="177">
        <f t="shared" si="2"/>
        <v>129909</v>
      </c>
      <c r="G27" s="177">
        <f t="shared" si="2"/>
        <v>221667</v>
      </c>
      <c r="H27" s="177">
        <f t="shared" si="2"/>
        <v>176667</v>
      </c>
      <c r="I27" s="177">
        <f t="shared" si="2"/>
        <v>176667</v>
      </c>
      <c r="J27" s="177">
        <f t="shared" si="2"/>
        <v>176667</v>
      </c>
      <c r="K27" s="177">
        <f t="shared" si="2"/>
        <v>176667</v>
      </c>
    </row>
    <row r="28" spans="1:12" s="128" customFormat="1" ht="15" hidden="1">
      <c r="A28" s="154"/>
      <c r="B28" s="155"/>
      <c r="C28" s="132">
        <f>'Budget Detail FY 2013-20'!L481</f>
        <v>162886</v>
      </c>
      <c r="D28" s="132">
        <f>'Budget Detail FY 2013-20'!M481</f>
        <v>116271</v>
      </c>
      <c r="E28" s="132">
        <f>'Budget Detail FY 2013-20'!N481</f>
        <v>127667</v>
      </c>
      <c r="F28" s="132">
        <f>'Budget Detail FY 2013-20'!O481</f>
        <v>129909</v>
      </c>
      <c r="G28" s="132">
        <f>'Budget Detail FY 2013-20'!P481</f>
        <v>221667</v>
      </c>
      <c r="H28" s="132">
        <f>'Budget Detail FY 2013-20'!Q481</f>
        <v>176667</v>
      </c>
      <c r="I28" s="132">
        <f>'Budget Detail FY 2013-20'!R481</f>
        <v>176667</v>
      </c>
      <c r="J28" s="132">
        <f>'Budget Detail FY 2013-20'!S481</f>
        <v>176667</v>
      </c>
      <c r="K28" s="132">
        <f>'Budget Detail FY 2013-20'!T481</f>
        <v>176667</v>
      </c>
      <c r="L28" s="721" t="s">
        <v>1150</v>
      </c>
    </row>
    <row r="29" spans="1:12" s="131" customFormat="1" ht="15" hidden="1">
      <c r="A29" s="156"/>
      <c r="B29" s="157"/>
      <c r="C29" s="163">
        <f>C27-C28</f>
        <v>0</v>
      </c>
      <c r="D29" s="163">
        <f t="shared" ref="D29:K29" si="3">D27-D28</f>
        <v>0</v>
      </c>
      <c r="E29" s="163">
        <f t="shared" si="3"/>
        <v>0</v>
      </c>
      <c r="F29" s="163">
        <f t="shared" si="3"/>
        <v>0</v>
      </c>
      <c r="G29" s="163">
        <f t="shared" si="3"/>
        <v>0</v>
      </c>
      <c r="H29" s="163">
        <f t="shared" si="3"/>
        <v>0</v>
      </c>
      <c r="I29" s="163">
        <f t="shared" si="3"/>
        <v>0</v>
      </c>
      <c r="J29" s="163">
        <f t="shared" si="3"/>
        <v>0</v>
      </c>
      <c r="K29" s="163">
        <f t="shared" si="3"/>
        <v>0</v>
      </c>
      <c r="L29" s="721" t="s">
        <v>1151</v>
      </c>
    </row>
    <row r="30" spans="1:12" ht="7.5" customHeight="1">
      <c r="A30" s="151"/>
      <c r="B30" s="160"/>
      <c r="C30" s="4"/>
      <c r="D30" s="4"/>
      <c r="E30" s="4"/>
      <c r="F30" s="4"/>
      <c r="G30" s="4"/>
      <c r="H30" s="4"/>
      <c r="I30" s="4"/>
      <c r="J30" s="4"/>
      <c r="K30" s="4"/>
    </row>
    <row r="31" spans="1:12" ht="15">
      <c r="A31" s="151"/>
      <c r="B31" s="158" t="s">
        <v>1043</v>
      </c>
      <c r="C31" s="2"/>
      <c r="D31" s="2"/>
      <c r="E31" s="2"/>
      <c r="F31" s="2"/>
      <c r="G31" s="2"/>
      <c r="H31" s="2"/>
      <c r="I31" s="2"/>
      <c r="J31" s="2"/>
      <c r="K31" s="2"/>
    </row>
    <row r="32" spans="1:12" ht="20.100000000000001" customHeight="1">
      <c r="A32" s="151"/>
      <c r="B32" s="508" t="s">
        <v>846</v>
      </c>
      <c r="C32" s="2">
        <f>SUM('Budget Detail FY 2013-20'!L484:L486)</f>
        <v>26198</v>
      </c>
      <c r="D32" s="2">
        <f>SUM('Budget Detail FY 2013-20'!M484:M486)</f>
        <v>26929</v>
      </c>
      <c r="E32" s="2">
        <f>SUM('Budget Detail FY 2013-20'!N484:N486)</f>
        <v>6500</v>
      </c>
      <c r="F32" s="2">
        <f>SUM('Budget Detail FY 2013-20'!O484:O486)</f>
        <v>5039</v>
      </c>
      <c r="G32" s="2">
        <f>SUM('Budget Detail FY 2013-20'!P484:P486)</f>
        <v>6500</v>
      </c>
      <c r="H32" s="2">
        <f>SUM('Budget Detail FY 2013-20'!Q484:Q486)</f>
        <v>6500</v>
      </c>
      <c r="I32" s="2">
        <f>SUM('Budget Detail FY 2013-20'!R484:R486)</f>
        <v>6500</v>
      </c>
      <c r="J32" s="2">
        <f>SUM('Budget Detail FY 2013-20'!S484:S486)</f>
        <v>6500</v>
      </c>
      <c r="K32" s="2">
        <f>SUM('Budget Detail FY 2013-20'!T484:T486)</f>
        <v>6500</v>
      </c>
    </row>
    <row r="33" spans="1:12" ht="20.100000000000001" customHeight="1">
      <c r="A33" s="151"/>
      <c r="B33" s="508" t="s">
        <v>847</v>
      </c>
      <c r="C33" s="2">
        <f>'Budget Detail FY 2013-20'!L487</f>
        <v>0</v>
      </c>
      <c r="D33" s="2">
        <f>'Budget Detail FY 2013-20'!M487</f>
        <v>0</v>
      </c>
      <c r="E33" s="2">
        <f>'Budget Detail FY 2013-20'!N487</f>
        <v>2000</v>
      </c>
      <c r="F33" s="2">
        <f>'Budget Detail FY 2013-20'!O487</f>
        <v>2000</v>
      </c>
      <c r="G33" s="2">
        <f>'Budget Detail FY 2013-20'!P487</f>
        <v>2000</v>
      </c>
      <c r="H33" s="2">
        <f>'Budget Detail FY 2013-20'!Q487</f>
        <v>2000</v>
      </c>
      <c r="I33" s="2">
        <f>'Budget Detail FY 2013-20'!R487</f>
        <v>2000</v>
      </c>
      <c r="J33" s="2">
        <f>'Budget Detail FY 2013-20'!S487</f>
        <v>2000</v>
      </c>
      <c r="K33" s="2">
        <f>'Budget Detail FY 2013-20'!T487</f>
        <v>2000</v>
      </c>
    </row>
    <row r="34" spans="1:12" ht="20.100000000000001" customHeight="1">
      <c r="A34" s="151"/>
      <c r="B34" s="508" t="s">
        <v>848</v>
      </c>
      <c r="C34" s="2">
        <f>SUM('Budget Detail FY 2013-20'!L488:L489)</f>
        <v>0</v>
      </c>
      <c r="D34" s="2">
        <f>SUM('Budget Detail FY 2013-20'!M488:M489)</f>
        <v>48689</v>
      </c>
      <c r="E34" s="2">
        <f>SUM('Budget Detail FY 2013-20'!N488:N489)</f>
        <v>160000</v>
      </c>
      <c r="F34" s="2">
        <f>SUM('Budget Detail FY 2013-20'!O488:O489)</f>
        <v>160000</v>
      </c>
      <c r="G34" s="2">
        <f>SUM('Budget Detail FY 2013-20'!P488:P489)</f>
        <v>185000</v>
      </c>
      <c r="H34" s="2">
        <f>SUM('Budget Detail FY 2013-20'!Q488:Q489)</f>
        <v>0</v>
      </c>
      <c r="I34" s="2">
        <f>SUM('Budget Detail FY 2013-20'!R488:R489)</f>
        <v>0</v>
      </c>
      <c r="J34" s="2">
        <f>SUM('Budget Detail FY 2013-20'!S488:S489)</f>
        <v>0</v>
      </c>
      <c r="K34" s="2">
        <f>SUM('Budget Detail FY 2013-20'!T488:T489)</f>
        <v>0</v>
      </c>
    </row>
    <row r="35" spans="1:12" ht="20.100000000000001" customHeight="1">
      <c r="A35" s="151"/>
      <c r="B35" s="508" t="s">
        <v>772</v>
      </c>
      <c r="C35" s="2">
        <f>SUM('Budget Detail FY 2013-20'!L491:L492)</f>
        <v>82295</v>
      </c>
      <c r="D35" s="2">
        <f>SUM('Budget Detail FY 2013-20'!M491:M492)</f>
        <v>76054</v>
      </c>
      <c r="E35" s="2">
        <f>SUM('Budget Detail FY 2013-20'!N491:N492)</f>
        <v>70816</v>
      </c>
      <c r="F35" s="2">
        <f>SUM('Budget Detail FY 2013-20'!O491:O492)</f>
        <v>70816</v>
      </c>
      <c r="G35" s="2">
        <f>SUM('Budget Detail FY 2013-20'!P491:P492)</f>
        <v>70815</v>
      </c>
      <c r="H35" s="2">
        <f>SUM('Budget Detail FY 2013-20'!Q491:Q492)</f>
        <v>70815</v>
      </c>
      <c r="I35" s="2">
        <f>SUM('Budget Detail FY 2013-20'!R491:R492)</f>
        <v>70815</v>
      </c>
      <c r="J35" s="2">
        <f>SUM('Budget Detail FY 2013-20'!S491:S492)</f>
        <v>70815</v>
      </c>
      <c r="K35" s="2">
        <f>SUM('Budget Detail FY 2013-20'!T491:T492)</f>
        <v>70815</v>
      </c>
    </row>
    <row r="36" spans="1:12" ht="20.100000000000001" customHeight="1" thickBot="1">
      <c r="A36" s="151"/>
      <c r="B36" s="153" t="s">
        <v>1047</v>
      </c>
      <c r="C36" s="177">
        <f>SUM(C32:C35)</f>
        <v>108493</v>
      </c>
      <c r="D36" s="177">
        <f t="shared" ref="D36:K36" si="4">SUM(D32:D35)</f>
        <v>151672</v>
      </c>
      <c r="E36" s="177">
        <f t="shared" si="4"/>
        <v>239316</v>
      </c>
      <c r="F36" s="177">
        <f t="shared" si="4"/>
        <v>237855</v>
      </c>
      <c r="G36" s="177">
        <f t="shared" si="4"/>
        <v>264315</v>
      </c>
      <c r="H36" s="177">
        <f t="shared" si="4"/>
        <v>79315</v>
      </c>
      <c r="I36" s="177">
        <f t="shared" si="4"/>
        <v>79315</v>
      </c>
      <c r="J36" s="177">
        <f t="shared" si="4"/>
        <v>79315</v>
      </c>
      <c r="K36" s="177">
        <f t="shared" si="4"/>
        <v>79315</v>
      </c>
    </row>
    <row r="37" spans="1:12" s="128" customFormat="1" ht="15" hidden="1">
      <c r="A37" s="154"/>
      <c r="B37" s="155"/>
      <c r="C37" s="132">
        <f>'Budget Detail FY 2013-20'!L493</f>
        <v>108493</v>
      </c>
      <c r="D37" s="132">
        <f>'Budget Detail FY 2013-20'!M493</f>
        <v>151672</v>
      </c>
      <c r="E37" s="132">
        <f>'Budget Detail FY 2013-20'!N493</f>
        <v>239316</v>
      </c>
      <c r="F37" s="132">
        <f>'Budget Detail FY 2013-20'!O493</f>
        <v>237855</v>
      </c>
      <c r="G37" s="132">
        <f>'Budget Detail FY 2013-20'!P493</f>
        <v>264315</v>
      </c>
      <c r="H37" s="132">
        <f>'Budget Detail FY 2013-20'!Q493</f>
        <v>79315</v>
      </c>
      <c r="I37" s="132">
        <f>'Budget Detail FY 2013-20'!R493</f>
        <v>79315</v>
      </c>
      <c r="J37" s="132">
        <f>'Budget Detail FY 2013-20'!S493</f>
        <v>79315</v>
      </c>
      <c r="K37" s="132">
        <f>'Budget Detail FY 2013-20'!T493</f>
        <v>79315</v>
      </c>
      <c r="L37" s="721" t="s">
        <v>1150</v>
      </c>
    </row>
    <row r="38" spans="1:12" s="131" customFormat="1" ht="15" hidden="1">
      <c r="A38" s="156"/>
      <c r="B38" s="157"/>
      <c r="C38" s="163">
        <f>C36-C37</f>
        <v>0</v>
      </c>
      <c r="D38" s="163">
        <f t="shared" ref="D38:K38" si="5">D36-D37</f>
        <v>0</v>
      </c>
      <c r="E38" s="163">
        <f t="shared" si="5"/>
        <v>0</v>
      </c>
      <c r="F38" s="163">
        <f t="shared" si="5"/>
        <v>0</v>
      </c>
      <c r="G38" s="163">
        <f t="shared" si="5"/>
        <v>0</v>
      </c>
      <c r="H38" s="163">
        <f t="shared" si="5"/>
        <v>0</v>
      </c>
      <c r="I38" s="163">
        <f t="shared" si="5"/>
        <v>0</v>
      </c>
      <c r="J38" s="163">
        <f t="shared" si="5"/>
        <v>0</v>
      </c>
      <c r="K38" s="163">
        <f t="shared" si="5"/>
        <v>0</v>
      </c>
      <c r="L38" s="721" t="s">
        <v>1151</v>
      </c>
    </row>
    <row r="39" spans="1:12" ht="7.5" customHeight="1">
      <c r="A39" s="151"/>
      <c r="B39" s="160"/>
      <c r="C39" s="4"/>
      <c r="D39" s="4"/>
      <c r="E39" s="4"/>
      <c r="F39" s="4"/>
      <c r="G39" s="4"/>
      <c r="H39" s="4"/>
      <c r="I39" s="4"/>
      <c r="J39" s="4"/>
      <c r="K39" s="4"/>
    </row>
    <row r="40" spans="1:12" ht="15">
      <c r="A40" s="151"/>
      <c r="B40" s="158" t="s">
        <v>1228</v>
      </c>
      <c r="C40" s="2"/>
      <c r="D40" s="2"/>
      <c r="E40" s="2"/>
      <c r="F40" s="2"/>
      <c r="G40" s="2"/>
      <c r="H40" s="2"/>
      <c r="I40" s="2"/>
      <c r="J40" s="2"/>
      <c r="K40" s="2"/>
    </row>
    <row r="41" spans="1:12" ht="20.100000000000001" customHeight="1">
      <c r="A41" s="151"/>
      <c r="B41" s="508" t="s">
        <v>846</v>
      </c>
      <c r="C41" s="2">
        <f>'Budget Detail FY 2013-20'!L496+'Budget Detail FY 2013-20'!L497</f>
        <v>0</v>
      </c>
      <c r="D41" s="2">
        <f>'Budget Detail FY 2013-20'!M496+'Budget Detail FY 2013-20'!M497</f>
        <v>800</v>
      </c>
      <c r="E41" s="2">
        <f>'Budget Detail FY 2013-20'!N496+'Budget Detail FY 2013-20'!N497</f>
        <v>0</v>
      </c>
      <c r="F41" s="2">
        <f>'Budget Detail FY 2013-20'!O496+'Budget Detail FY 2013-20'!O497</f>
        <v>2705</v>
      </c>
      <c r="G41" s="2">
        <f>'Budget Detail FY 2013-20'!P496+'Budget Detail FY 2013-20'!P497</f>
        <v>0</v>
      </c>
      <c r="H41" s="2">
        <f>'Budget Detail FY 2013-20'!Q496+'Budget Detail FY 2013-20'!Q497</f>
        <v>0</v>
      </c>
      <c r="I41" s="2">
        <f>'Budget Detail FY 2013-20'!R496+'Budget Detail FY 2013-20'!R497</f>
        <v>0</v>
      </c>
      <c r="J41" s="2">
        <f>'Budget Detail FY 2013-20'!S496+'Budget Detail FY 2013-20'!S497</f>
        <v>0</v>
      </c>
      <c r="K41" s="2">
        <f>'Budget Detail FY 2013-20'!T496+'Budget Detail FY 2013-20'!T497</f>
        <v>0</v>
      </c>
    </row>
    <row r="42" spans="1:12" ht="20.100000000000001" customHeight="1">
      <c r="A42" s="151"/>
      <c r="B42" s="508" t="s">
        <v>848</v>
      </c>
      <c r="C42" s="2">
        <f>SUM('Budget Detail FY 2013-20'!L498:L501)</f>
        <v>17284</v>
      </c>
      <c r="D42" s="2">
        <f>SUM('Budget Detail FY 2013-20'!M498:M501)</f>
        <v>12143</v>
      </c>
      <c r="E42" s="2">
        <f>SUM('Budget Detail FY 2013-20'!N498:N501)</f>
        <v>140000</v>
      </c>
      <c r="F42" s="2">
        <f>SUM('Budget Detail FY 2013-20'!O498:O501)</f>
        <v>113950</v>
      </c>
      <c r="G42" s="2">
        <f>SUM('Budget Detail FY 2013-20'!P498:P501)</f>
        <v>127929</v>
      </c>
      <c r="H42" s="2">
        <f>SUM('Budget Detail FY 2013-20'!Q498:Q501)</f>
        <v>0</v>
      </c>
      <c r="I42" s="2">
        <f>SUM('Budget Detail FY 2013-20'!R498:R501)</f>
        <v>0</v>
      </c>
      <c r="J42" s="2">
        <f>SUM('Budget Detail FY 2013-20'!S498:S501)</f>
        <v>0</v>
      </c>
      <c r="K42" s="2">
        <f>SUM('Budget Detail FY 2013-20'!T498:T501)</f>
        <v>0</v>
      </c>
    </row>
    <row r="43" spans="1:12" ht="20.100000000000001" customHeight="1">
      <c r="A43" s="151"/>
      <c r="B43" s="508" t="s">
        <v>772</v>
      </c>
      <c r="C43" s="2">
        <f>SUM('Budget Detail FY 2013-20'!L503:L504)</f>
        <v>0</v>
      </c>
      <c r="D43" s="2">
        <f>SUM('Budget Detail FY 2013-20'!M503:M504)</f>
        <v>2383</v>
      </c>
      <c r="E43" s="2">
        <f>SUM('Budget Detail FY 2013-20'!N503:N504)</f>
        <v>2219</v>
      </c>
      <c r="F43" s="2">
        <f>SUM('Budget Detail FY 2013-20'!O503:O504)</f>
        <v>2219</v>
      </c>
      <c r="G43" s="2">
        <f>SUM('Budget Detail FY 2013-20'!P503:P504)</f>
        <v>2219</v>
      </c>
      <c r="H43" s="2">
        <f>SUM('Budget Detail FY 2013-20'!Q503:Q504)</f>
        <v>2219</v>
      </c>
      <c r="I43" s="2">
        <f>SUM('Budget Detail FY 2013-20'!R503:R504)</f>
        <v>2219</v>
      </c>
      <c r="J43" s="2">
        <f>SUM('Budget Detail FY 2013-20'!S503:S504)</f>
        <v>2219</v>
      </c>
      <c r="K43" s="2">
        <f>SUM('Budget Detail FY 2013-20'!T503:T504)</f>
        <v>2219</v>
      </c>
    </row>
    <row r="44" spans="1:12" ht="20.100000000000001" customHeight="1">
      <c r="A44" s="151"/>
      <c r="B44" s="507" t="s">
        <v>850</v>
      </c>
      <c r="C44" s="2">
        <f>SUM('Budget Detail FY 2013-20'!L505:L506)</f>
        <v>2500</v>
      </c>
      <c r="D44" s="2">
        <f>SUM('Budget Detail FY 2013-20'!M505:M506)</f>
        <v>50000</v>
      </c>
      <c r="E44" s="2">
        <f>SUM('Budget Detail FY 2013-20'!N505:N506)</f>
        <v>50000</v>
      </c>
      <c r="F44" s="2">
        <f>SUM('Budget Detail FY 2013-20'!O505:O506)</f>
        <v>0</v>
      </c>
      <c r="G44" s="2">
        <f>SUM('Budget Detail FY 2013-20'!P505:P506)</f>
        <v>0</v>
      </c>
      <c r="H44" s="2">
        <f>SUM('Budget Detail FY 2013-20'!Q505:Q506)</f>
        <v>0</v>
      </c>
      <c r="I44" s="2">
        <f>SUM('Budget Detail FY 2013-20'!R505:R506)</f>
        <v>0</v>
      </c>
      <c r="J44" s="2">
        <f>SUM('Budget Detail FY 2013-20'!S505:S506)</f>
        <v>0</v>
      </c>
      <c r="K44" s="2">
        <f>SUM('Budget Detail FY 2013-20'!T505:T506)</f>
        <v>0</v>
      </c>
    </row>
    <row r="45" spans="1:12" ht="20.100000000000001" customHeight="1" thickBot="1">
      <c r="A45" s="151"/>
      <c r="B45" s="153" t="s">
        <v>1047</v>
      </c>
      <c r="C45" s="177">
        <f>SUM(C41:C44)</f>
        <v>19784</v>
      </c>
      <c r="D45" s="177">
        <f t="shared" ref="D45:K45" si="6">SUM(D41:D44)</f>
        <v>65326</v>
      </c>
      <c r="E45" s="177">
        <f t="shared" si="6"/>
        <v>192219</v>
      </c>
      <c r="F45" s="177">
        <f t="shared" si="6"/>
        <v>118874</v>
      </c>
      <c r="G45" s="177">
        <f t="shared" si="6"/>
        <v>130148</v>
      </c>
      <c r="H45" s="177">
        <f t="shared" si="6"/>
        <v>2219</v>
      </c>
      <c r="I45" s="177">
        <f t="shared" si="6"/>
        <v>2219</v>
      </c>
      <c r="J45" s="177">
        <f t="shared" si="6"/>
        <v>2219</v>
      </c>
      <c r="K45" s="177">
        <f t="shared" si="6"/>
        <v>2219</v>
      </c>
    </row>
    <row r="46" spans="1:12" s="128" customFormat="1" ht="15" hidden="1">
      <c r="A46" s="154"/>
      <c r="B46" s="155"/>
      <c r="C46" s="132">
        <f>'Budget Detail FY 2013-20'!L507</f>
        <v>19784</v>
      </c>
      <c r="D46" s="132">
        <f>'Budget Detail FY 2013-20'!M507</f>
        <v>65326</v>
      </c>
      <c r="E46" s="132">
        <f>'Budget Detail FY 2013-20'!N507</f>
        <v>192219</v>
      </c>
      <c r="F46" s="132">
        <f>'Budget Detail FY 2013-20'!O507</f>
        <v>118874</v>
      </c>
      <c r="G46" s="132">
        <f>'Budget Detail FY 2013-20'!P507</f>
        <v>130148</v>
      </c>
      <c r="H46" s="132">
        <f>'Budget Detail FY 2013-20'!Q507</f>
        <v>2219</v>
      </c>
      <c r="I46" s="132">
        <f>'Budget Detail FY 2013-20'!R507</f>
        <v>2219</v>
      </c>
      <c r="J46" s="132">
        <f>'Budget Detail FY 2013-20'!S507</f>
        <v>2219</v>
      </c>
      <c r="K46" s="132">
        <f>'Budget Detail FY 2013-20'!T507</f>
        <v>2219</v>
      </c>
      <c r="L46" s="721" t="s">
        <v>1150</v>
      </c>
    </row>
    <row r="47" spans="1:12" s="131" customFormat="1" ht="15" hidden="1">
      <c r="A47" s="156"/>
      <c r="B47" s="157"/>
      <c r="C47" s="163">
        <f>C45-C46</f>
        <v>0</v>
      </c>
      <c r="D47" s="163">
        <f t="shared" ref="D47:J47" si="7">D45-D46</f>
        <v>0</v>
      </c>
      <c r="E47" s="163">
        <f t="shared" si="7"/>
        <v>0</v>
      </c>
      <c r="F47" s="163">
        <f t="shared" si="7"/>
        <v>0</v>
      </c>
      <c r="G47" s="163">
        <f>G45-G46</f>
        <v>0</v>
      </c>
      <c r="H47" s="163">
        <f t="shared" si="7"/>
        <v>0</v>
      </c>
      <c r="I47" s="163">
        <f t="shared" si="7"/>
        <v>0</v>
      </c>
      <c r="J47" s="163">
        <f t="shared" si="7"/>
        <v>0</v>
      </c>
      <c r="K47" s="163">
        <f>K45-K46</f>
        <v>0</v>
      </c>
      <c r="L47" s="721" t="s">
        <v>1151</v>
      </c>
    </row>
    <row r="48" spans="1:12" ht="7.5" customHeight="1">
      <c r="A48" s="151"/>
      <c r="B48" s="160"/>
      <c r="C48" s="4"/>
      <c r="D48" s="4"/>
      <c r="E48" s="4"/>
      <c r="F48" s="4"/>
      <c r="G48" s="4"/>
      <c r="H48" s="4"/>
      <c r="I48" s="4"/>
      <c r="J48" s="4"/>
      <c r="K48" s="4"/>
    </row>
    <row r="49" spans="1:12" ht="20.100000000000001" customHeight="1" thickBot="1">
      <c r="A49" s="151"/>
      <c r="B49" s="153" t="s">
        <v>851</v>
      </c>
      <c r="C49" s="150">
        <f>C27+C36+C45</f>
        <v>291163</v>
      </c>
      <c r="D49" s="150">
        <f t="shared" ref="D49:K49" si="8">D27+D36+D45</f>
        <v>333269</v>
      </c>
      <c r="E49" s="150">
        <f t="shared" si="8"/>
        <v>559202</v>
      </c>
      <c r="F49" s="150">
        <f t="shared" si="8"/>
        <v>486638</v>
      </c>
      <c r="G49" s="150">
        <f t="shared" si="8"/>
        <v>616130</v>
      </c>
      <c r="H49" s="150">
        <f t="shared" si="8"/>
        <v>258201</v>
      </c>
      <c r="I49" s="150">
        <f t="shared" si="8"/>
        <v>258201</v>
      </c>
      <c r="J49" s="150">
        <f t="shared" si="8"/>
        <v>258201</v>
      </c>
      <c r="K49" s="150">
        <f t="shared" si="8"/>
        <v>258201</v>
      </c>
    </row>
    <row r="50" spans="1:12" s="128" customFormat="1" ht="15" hidden="1">
      <c r="A50" s="154"/>
      <c r="B50" s="155"/>
      <c r="C50" s="132">
        <f>'Budget Detail FY 2013-20'!L509</f>
        <v>291163</v>
      </c>
      <c r="D50" s="132">
        <f>'Budget Detail FY 2013-20'!M509</f>
        <v>333269</v>
      </c>
      <c r="E50" s="132">
        <f>'Budget Detail FY 2013-20'!N509</f>
        <v>559202</v>
      </c>
      <c r="F50" s="132">
        <f>'Budget Detail FY 2013-20'!O509</f>
        <v>486638</v>
      </c>
      <c r="G50" s="132">
        <f>'Budget Detail FY 2013-20'!P509</f>
        <v>616130</v>
      </c>
      <c r="H50" s="132">
        <f>'Budget Detail FY 2013-20'!Q509</f>
        <v>258201</v>
      </c>
      <c r="I50" s="132">
        <f>'Budget Detail FY 2013-20'!R509</f>
        <v>258201</v>
      </c>
      <c r="J50" s="132">
        <f>'Budget Detail FY 2013-20'!S509</f>
        <v>258201</v>
      </c>
      <c r="K50" s="132">
        <f>'Budget Detail FY 2013-20'!T509</f>
        <v>258201</v>
      </c>
      <c r="L50" s="721" t="s">
        <v>1150</v>
      </c>
    </row>
    <row r="51" spans="1:12" s="131" customFormat="1" ht="14.25" hidden="1">
      <c r="A51" s="156"/>
      <c r="B51" s="157"/>
      <c r="C51" s="133">
        <f>C49-C50</f>
        <v>0</v>
      </c>
      <c r="D51" s="133">
        <f t="shared" ref="D51:K51" si="9">D49-D50</f>
        <v>0</v>
      </c>
      <c r="E51" s="133">
        <f t="shared" si="9"/>
        <v>0</v>
      </c>
      <c r="F51" s="133">
        <f t="shared" si="9"/>
        <v>0</v>
      </c>
      <c r="G51" s="133">
        <f t="shared" si="9"/>
        <v>0</v>
      </c>
      <c r="H51" s="133">
        <f t="shared" si="9"/>
        <v>0</v>
      </c>
      <c r="I51" s="133">
        <f t="shared" si="9"/>
        <v>0</v>
      </c>
      <c r="J51" s="133">
        <f t="shared" si="9"/>
        <v>0</v>
      </c>
      <c r="K51" s="133">
        <f t="shared" si="9"/>
        <v>0</v>
      </c>
      <c r="L51" s="721" t="s">
        <v>1151</v>
      </c>
    </row>
    <row r="52" spans="1:12" ht="7.5" customHeight="1">
      <c r="A52" s="151"/>
      <c r="B52" s="160"/>
      <c r="C52" s="4"/>
      <c r="D52" s="4"/>
      <c r="E52" s="4"/>
      <c r="F52" s="4"/>
      <c r="G52" s="4"/>
      <c r="H52" s="4"/>
      <c r="I52" s="4"/>
      <c r="J52" s="4"/>
      <c r="K52" s="4"/>
    </row>
    <row r="53" spans="1:12" ht="20.100000000000001" customHeight="1">
      <c r="A53" s="151"/>
      <c r="B53" s="510" t="s">
        <v>852</v>
      </c>
      <c r="C53" s="3">
        <f t="shared" ref="C53:K53" si="10">C20-C49</f>
        <v>-179007</v>
      </c>
      <c r="D53" s="3">
        <f t="shared" si="10"/>
        <v>-27842</v>
      </c>
      <c r="E53" s="3">
        <f t="shared" si="10"/>
        <v>-124649</v>
      </c>
      <c r="F53" s="3">
        <f t="shared" si="10"/>
        <v>-5178</v>
      </c>
      <c r="G53" s="3">
        <f t="shared" si="10"/>
        <v>-143792</v>
      </c>
      <c r="H53" s="3">
        <f t="shared" si="10"/>
        <v>306</v>
      </c>
      <c r="I53" s="3">
        <f t="shared" si="10"/>
        <v>306</v>
      </c>
      <c r="J53" s="3">
        <f t="shared" si="10"/>
        <v>306</v>
      </c>
      <c r="K53" s="3">
        <f t="shared" si="10"/>
        <v>306</v>
      </c>
    </row>
    <row r="54" spans="1:12" s="128" customFormat="1" ht="15" hidden="1">
      <c r="A54" s="154"/>
      <c r="B54" s="161"/>
      <c r="C54" s="132">
        <f>'Budget Detail FY 2013-20'!L511</f>
        <v>-179007</v>
      </c>
      <c r="D54" s="132">
        <f>'Budget Detail FY 2013-20'!M511</f>
        <v>-27842</v>
      </c>
      <c r="E54" s="132">
        <f>'Budget Detail FY 2013-20'!N511</f>
        <v>-124649</v>
      </c>
      <c r="F54" s="132">
        <f>'Budget Detail FY 2013-20'!O511</f>
        <v>-5178</v>
      </c>
      <c r="G54" s="132">
        <f>'Budget Detail FY 2013-20'!P511</f>
        <v>-143792</v>
      </c>
      <c r="H54" s="132">
        <f>'Budget Detail FY 2013-20'!Q511</f>
        <v>306</v>
      </c>
      <c r="I54" s="132">
        <f>'Budget Detail FY 2013-20'!R511</f>
        <v>306</v>
      </c>
      <c r="J54" s="132">
        <f>'Budget Detail FY 2013-20'!S511</f>
        <v>306</v>
      </c>
      <c r="K54" s="132">
        <f>'Budget Detail FY 2013-20'!T511</f>
        <v>306</v>
      </c>
      <c r="L54" s="721" t="s">
        <v>1150</v>
      </c>
    </row>
    <row r="55" spans="1:12" s="131" customFormat="1" ht="15" hidden="1">
      <c r="A55" s="156"/>
      <c r="B55" s="162"/>
      <c r="C55" s="171">
        <f>C53-C54</f>
        <v>0</v>
      </c>
      <c r="D55" s="171">
        <f t="shared" ref="D55:K55" si="11">D53-D54</f>
        <v>0</v>
      </c>
      <c r="E55" s="171">
        <f t="shared" si="11"/>
        <v>0</v>
      </c>
      <c r="F55" s="171">
        <f t="shared" si="11"/>
        <v>0</v>
      </c>
      <c r="G55" s="171">
        <f t="shared" si="11"/>
        <v>0</v>
      </c>
      <c r="H55" s="171">
        <f t="shared" si="11"/>
        <v>0</v>
      </c>
      <c r="I55" s="171">
        <f t="shared" si="11"/>
        <v>0</v>
      </c>
      <c r="J55" s="171">
        <f t="shared" si="11"/>
        <v>0</v>
      </c>
      <c r="K55" s="171">
        <f t="shared" si="11"/>
        <v>0</v>
      </c>
      <c r="L55" s="721" t="s">
        <v>1151</v>
      </c>
    </row>
    <row r="56" spans="1:12" ht="7.5" customHeight="1">
      <c r="A56" s="151"/>
      <c r="B56" s="173"/>
      <c r="C56" s="111"/>
      <c r="D56" s="111"/>
      <c r="E56" s="111"/>
      <c r="F56" s="111"/>
      <c r="G56" s="111"/>
      <c r="H56" s="111"/>
      <c r="I56" s="111"/>
      <c r="J56" s="111"/>
      <c r="K56" s="111"/>
    </row>
    <row r="57" spans="1:12" ht="15">
      <c r="A57" s="151"/>
      <c r="B57" s="174" t="s">
        <v>1044</v>
      </c>
      <c r="C57" s="98">
        <v>106687</v>
      </c>
      <c r="D57" s="98">
        <v>39371</v>
      </c>
      <c r="E57" s="98">
        <f>'Budget Detail FY 2013-20'!N513</f>
        <v>0</v>
      </c>
      <c r="F57" s="98">
        <f>'Budget Detail FY 2013-20'!O513</f>
        <v>-11730</v>
      </c>
      <c r="G57" s="98">
        <f>'Budget Detail FY 2013-20'!P513</f>
        <v>0</v>
      </c>
      <c r="H57" s="98">
        <f>'Budget Detail FY 2013-20'!Q513</f>
        <v>0</v>
      </c>
      <c r="I57" s="98">
        <f>'Budget Detail FY 2013-20'!R513</f>
        <v>0</v>
      </c>
      <c r="J57" s="98">
        <f>'Budget Detail FY 2013-20'!S513</f>
        <v>0</v>
      </c>
      <c r="K57" s="98">
        <f>'Budget Detail FY 2013-20'!T513</f>
        <v>0</v>
      </c>
    </row>
    <row r="58" spans="1:12" s="128" customFormat="1" ht="15" hidden="1">
      <c r="A58" s="154"/>
      <c r="B58" s="175"/>
      <c r="C58" s="132">
        <f>'Budget Detail FY 2013-20'!L513</f>
        <v>106687</v>
      </c>
      <c r="D58" s="132">
        <f>'Budget Detail FY 2013-20'!M513</f>
        <v>39371</v>
      </c>
      <c r="E58" s="132">
        <f>'Budget Detail FY 2013-20'!N513</f>
        <v>0</v>
      </c>
      <c r="F58" s="132">
        <f>'Budget Detail FY 2013-20'!O513</f>
        <v>-11730</v>
      </c>
      <c r="G58" s="132">
        <f>'Budget Detail FY 2013-20'!P513</f>
        <v>0</v>
      </c>
      <c r="H58" s="132">
        <f>'Budget Detail FY 2013-20'!Q513</f>
        <v>0</v>
      </c>
      <c r="I58" s="132">
        <f>'Budget Detail FY 2013-20'!R513</f>
        <v>0</v>
      </c>
      <c r="J58" s="132">
        <f>'Budget Detail FY 2013-20'!S513</f>
        <v>0</v>
      </c>
      <c r="K58" s="132">
        <f>'Budget Detail FY 2013-20'!T513</f>
        <v>0</v>
      </c>
      <c r="L58" s="721" t="s">
        <v>1150</v>
      </c>
    </row>
    <row r="59" spans="1:12" s="131" customFormat="1" ht="15" hidden="1">
      <c r="A59" s="156"/>
      <c r="B59" s="176"/>
      <c r="C59" s="163">
        <f>C57-C58</f>
        <v>0</v>
      </c>
      <c r="D59" s="163">
        <f t="shared" ref="D59:K59" si="12">D57-D58</f>
        <v>0</v>
      </c>
      <c r="E59" s="163">
        <f t="shared" si="12"/>
        <v>0</v>
      </c>
      <c r="F59" s="163">
        <f t="shared" si="12"/>
        <v>0</v>
      </c>
      <c r="G59" s="163">
        <f t="shared" si="12"/>
        <v>0</v>
      </c>
      <c r="H59" s="163">
        <f t="shared" si="12"/>
        <v>0</v>
      </c>
      <c r="I59" s="163">
        <f t="shared" si="12"/>
        <v>0</v>
      </c>
      <c r="J59" s="163">
        <f t="shared" si="12"/>
        <v>0</v>
      </c>
      <c r="K59" s="163">
        <f t="shared" si="12"/>
        <v>0</v>
      </c>
      <c r="L59" s="721" t="s">
        <v>1151</v>
      </c>
    </row>
    <row r="60" spans="1:12" ht="7.5" customHeight="1">
      <c r="A60" s="151"/>
      <c r="B60" s="174"/>
      <c r="C60" s="98"/>
      <c r="D60" s="98"/>
      <c r="E60" s="98"/>
      <c r="F60" s="98"/>
      <c r="G60" s="98"/>
      <c r="H60" s="98"/>
      <c r="I60" s="98"/>
      <c r="J60" s="98"/>
      <c r="K60" s="98"/>
    </row>
    <row r="61" spans="1:12" ht="15">
      <c r="A61" s="151"/>
      <c r="B61" s="174" t="s">
        <v>1045</v>
      </c>
      <c r="C61" s="98">
        <f>'Budget Detail FY 2013-20'!L515</f>
        <v>22399</v>
      </c>
      <c r="D61" s="98">
        <v>74302</v>
      </c>
      <c r="E61" s="98">
        <f>'Budget Detail FY 2013-20'!N515</f>
        <v>0</v>
      </c>
      <c r="F61" s="98">
        <f>'Budget Detail FY 2013-20'!O515</f>
        <v>27899</v>
      </c>
      <c r="G61" s="98">
        <f>'Budget Detail FY 2013-20'!P515</f>
        <v>0</v>
      </c>
      <c r="H61" s="98">
        <f>'Budget Detail FY 2013-20'!Q515</f>
        <v>0</v>
      </c>
      <c r="I61" s="98">
        <f>'Budget Detail FY 2013-20'!R515</f>
        <v>0</v>
      </c>
      <c r="J61" s="98">
        <f>'Budget Detail FY 2013-20'!S515</f>
        <v>0</v>
      </c>
      <c r="K61" s="98">
        <f>'Budget Detail FY 2013-20'!T515</f>
        <v>0</v>
      </c>
    </row>
    <row r="62" spans="1:12" s="128" customFormat="1" ht="15" hidden="1">
      <c r="A62" s="154"/>
      <c r="B62" s="175"/>
      <c r="C62" s="132">
        <f>'Budget Detail FY 2013-20'!L515</f>
        <v>22399</v>
      </c>
      <c r="D62" s="132">
        <f>'Budget Detail FY 2013-20'!M515</f>
        <v>74302</v>
      </c>
      <c r="E62" s="132">
        <f>'Budget Detail FY 2013-20'!N515</f>
        <v>0</v>
      </c>
      <c r="F62" s="132">
        <f>'Budget Detail FY 2013-20'!O515</f>
        <v>27899</v>
      </c>
      <c r="G62" s="132">
        <f>'Budget Detail FY 2013-20'!P515</f>
        <v>0</v>
      </c>
      <c r="H62" s="132">
        <f>'Budget Detail FY 2013-20'!Q515</f>
        <v>0</v>
      </c>
      <c r="I62" s="132">
        <f>'Budget Detail FY 2013-20'!R515</f>
        <v>0</v>
      </c>
      <c r="J62" s="132">
        <f>'Budget Detail FY 2013-20'!S515</f>
        <v>0</v>
      </c>
      <c r="K62" s="132">
        <f>'Budget Detail FY 2013-20'!T515</f>
        <v>0</v>
      </c>
      <c r="L62" s="721" t="s">
        <v>1150</v>
      </c>
    </row>
    <row r="63" spans="1:12" s="131" customFormat="1" ht="15" hidden="1">
      <c r="A63" s="156"/>
      <c r="B63" s="176"/>
      <c r="C63" s="163">
        <f>C61-C62</f>
        <v>0</v>
      </c>
      <c r="D63" s="163">
        <f>D61-D62</f>
        <v>0</v>
      </c>
      <c r="E63" s="163">
        <f t="shared" ref="E63:K63" si="13">E61-E62</f>
        <v>0</v>
      </c>
      <c r="F63" s="163">
        <f t="shared" si="13"/>
        <v>0</v>
      </c>
      <c r="G63" s="163">
        <f t="shared" si="13"/>
        <v>0</v>
      </c>
      <c r="H63" s="163">
        <f t="shared" si="13"/>
        <v>0</v>
      </c>
      <c r="I63" s="163">
        <f t="shared" si="13"/>
        <v>0</v>
      </c>
      <c r="J63" s="163">
        <f t="shared" si="13"/>
        <v>0</v>
      </c>
      <c r="K63" s="163">
        <f t="shared" si="13"/>
        <v>0</v>
      </c>
      <c r="L63" s="721" t="s">
        <v>1151</v>
      </c>
    </row>
    <row r="64" spans="1:12" ht="7.5" customHeight="1">
      <c r="A64" s="151"/>
      <c r="B64" s="174"/>
      <c r="C64" s="98"/>
      <c r="D64" s="98"/>
      <c r="E64" s="98"/>
      <c r="F64" s="98"/>
      <c r="G64" s="98"/>
      <c r="H64" s="98"/>
      <c r="I64" s="98"/>
      <c r="J64" s="98"/>
      <c r="K64" s="98"/>
    </row>
    <row r="65" spans="1:12" ht="15">
      <c r="A65" s="151"/>
      <c r="B65" s="174" t="s">
        <v>1229</v>
      </c>
      <c r="C65" s="98">
        <v>46502</v>
      </c>
      <c r="D65" s="98">
        <v>34073</v>
      </c>
      <c r="E65" s="98">
        <f>'Budget Detail FY 2013-20'!N517</f>
        <v>0</v>
      </c>
      <c r="F65" s="98">
        <f>'Budget Detail FY 2013-20'!O517</f>
        <v>126399</v>
      </c>
      <c r="G65" s="98">
        <f>'Budget Detail FY 2013-20'!P517</f>
        <v>-1224</v>
      </c>
      <c r="H65" s="98">
        <f>'Budget Detail FY 2013-20'!Q517</f>
        <v>-918</v>
      </c>
      <c r="I65" s="98">
        <f>'Budget Detail FY 2013-20'!R517</f>
        <v>-612</v>
      </c>
      <c r="J65" s="98">
        <f>'Budget Detail FY 2013-20'!S517</f>
        <v>-306</v>
      </c>
      <c r="K65" s="98">
        <f>'Budget Detail FY 2013-20'!T517</f>
        <v>0</v>
      </c>
    </row>
    <row r="66" spans="1:12" s="128" customFormat="1" ht="15" hidden="1">
      <c r="A66" s="154"/>
      <c r="B66" s="175"/>
      <c r="C66" s="132">
        <f>'Budget Detail FY 2013-20'!L517</f>
        <v>46502</v>
      </c>
      <c r="D66" s="132">
        <f>'Budget Detail FY 2013-20'!M517</f>
        <v>34073</v>
      </c>
      <c r="E66" s="132">
        <f>'Budget Detail FY 2013-20'!N517</f>
        <v>0</v>
      </c>
      <c r="F66" s="132">
        <f>'Budget Detail FY 2013-20'!O517</f>
        <v>126399</v>
      </c>
      <c r="G66" s="132">
        <f>'Budget Detail FY 2013-20'!P517</f>
        <v>-1224</v>
      </c>
      <c r="H66" s="132">
        <f>'Budget Detail FY 2013-20'!Q517</f>
        <v>-918</v>
      </c>
      <c r="I66" s="132">
        <f>'Budget Detail FY 2013-20'!R517</f>
        <v>-612</v>
      </c>
      <c r="J66" s="132">
        <f>'Budget Detail FY 2013-20'!S517</f>
        <v>-306</v>
      </c>
      <c r="K66" s="132">
        <f>'Budget Detail FY 2013-20'!T517</f>
        <v>0</v>
      </c>
      <c r="L66" s="721" t="s">
        <v>1150</v>
      </c>
    </row>
    <row r="67" spans="1:12" s="131" customFormat="1" ht="15" hidden="1">
      <c r="A67" s="156"/>
      <c r="B67" s="176"/>
      <c r="C67" s="163">
        <f>C65-C66</f>
        <v>0</v>
      </c>
      <c r="D67" s="163">
        <f t="shared" ref="D67:K67" si="14">D65-D66</f>
        <v>0</v>
      </c>
      <c r="E67" s="163">
        <f t="shared" si="14"/>
        <v>0</v>
      </c>
      <c r="F67" s="163">
        <f t="shared" si="14"/>
        <v>0</v>
      </c>
      <c r="G67" s="163">
        <f t="shared" si="14"/>
        <v>0</v>
      </c>
      <c r="H67" s="163">
        <f t="shared" si="14"/>
        <v>0</v>
      </c>
      <c r="I67" s="163">
        <f t="shared" si="14"/>
        <v>0</v>
      </c>
      <c r="J67" s="163">
        <f t="shared" si="14"/>
        <v>0</v>
      </c>
      <c r="K67" s="163">
        <f t="shared" si="14"/>
        <v>0</v>
      </c>
      <c r="L67" s="721" t="s">
        <v>1151</v>
      </c>
    </row>
    <row r="68" spans="1:12" ht="7.5" customHeight="1">
      <c r="A68" s="151"/>
      <c r="B68" s="174"/>
      <c r="C68" s="98"/>
      <c r="D68" s="98"/>
      <c r="E68" s="98"/>
      <c r="F68" s="98"/>
      <c r="G68" s="98"/>
      <c r="H68" s="98"/>
      <c r="I68" s="98"/>
      <c r="J68" s="98"/>
      <c r="K68" s="98"/>
    </row>
    <row r="69" spans="1:12" ht="15" thickBot="1">
      <c r="A69" s="151"/>
      <c r="B69" s="152" t="s">
        <v>853</v>
      </c>
      <c r="C69" s="83">
        <v>175588</v>
      </c>
      <c r="D69" s="83">
        <v>147746</v>
      </c>
      <c r="E69" s="83">
        <v>0</v>
      </c>
      <c r="F69" s="83">
        <f>D69+F53</f>
        <v>142568</v>
      </c>
      <c r="G69" s="83">
        <f>F69+G53</f>
        <v>-1224</v>
      </c>
      <c r="H69" s="83">
        <f>G69+H53</f>
        <v>-918</v>
      </c>
      <c r="I69" s="83">
        <f>H69+I53</f>
        <v>-612</v>
      </c>
      <c r="J69" s="83">
        <f>I69+J53</f>
        <v>-306</v>
      </c>
      <c r="K69" s="83">
        <f>J69+K53</f>
        <v>0</v>
      </c>
    </row>
    <row r="70" spans="1:12" s="128" customFormat="1" ht="15.75" hidden="1" thickTop="1">
      <c r="A70" s="154"/>
      <c r="B70" s="155"/>
      <c r="C70" s="132">
        <f>'Budget Detail FY 2013-20'!L519</f>
        <v>175588</v>
      </c>
      <c r="D70" s="132">
        <f>'Budget Detail FY 2013-20'!M519</f>
        <v>147746</v>
      </c>
      <c r="E70" s="132">
        <f>'Budget Detail FY 2013-20'!N519</f>
        <v>0</v>
      </c>
      <c r="F70" s="132">
        <f>'Budget Detail FY 2013-20'!O519</f>
        <v>142568</v>
      </c>
      <c r="G70" s="132">
        <f>'Budget Detail FY 2013-20'!P519</f>
        <v>-1224</v>
      </c>
      <c r="H70" s="132">
        <f>'Budget Detail FY 2013-20'!Q519</f>
        <v>-918</v>
      </c>
      <c r="I70" s="132">
        <f>'Budget Detail FY 2013-20'!R519</f>
        <v>-612</v>
      </c>
      <c r="J70" s="132">
        <f>'Budget Detail FY 2013-20'!S519</f>
        <v>-306</v>
      </c>
      <c r="K70" s="132">
        <f>'Budget Detail FY 2013-20'!T519</f>
        <v>0</v>
      </c>
      <c r="L70" s="721" t="s">
        <v>1150</v>
      </c>
    </row>
    <row r="71" spans="1:12" s="131" customFormat="1" ht="14.25" hidden="1">
      <c r="A71" s="156"/>
      <c r="B71" s="157"/>
      <c r="C71" s="133">
        <f>C69-C70</f>
        <v>0</v>
      </c>
      <c r="D71" s="133">
        <f t="shared" ref="D71:K71" si="15">D69-D70</f>
        <v>0</v>
      </c>
      <c r="E71" s="133">
        <f t="shared" si="15"/>
        <v>0</v>
      </c>
      <c r="F71" s="133">
        <f t="shared" si="15"/>
        <v>0</v>
      </c>
      <c r="G71" s="133">
        <f t="shared" si="15"/>
        <v>0</v>
      </c>
      <c r="H71" s="133">
        <f t="shared" si="15"/>
        <v>0</v>
      </c>
      <c r="I71" s="133">
        <f t="shared" si="15"/>
        <v>0</v>
      </c>
      <c r="J71" s="133">
        <f t="shared" si="15"/>
        <v>0</v>
      </c>
      <c r="K71" s="133">
        <f t="shared" si="15"/>
        <v>0</v>
      </c>
      <c r="L71" s="721" t="s">
        <v>1151</v>
      </c>
    </row>
    <row r="72" spans="1:12" ht="7.5" customHeight="1" thickTop="1">
      <c r="A72" s="151"/>
      <c r="B72" s="165"/>
      <c r="C72" s="3"/>
      <c r="D72" s="3"/>
      <c r="E72" s="3"/>
      <c r="F72" s="2"/>
      <c r="G72" s="2"/>
      <c r="H72" s="2"/>
      <c r="I72" s="2"/>
      <c r="J72" s="2"/>
      <c r="K72" s="2"/>
    </row>
    <row r="73" spans="1:12" ht="15">
      <c r="A73" s="151"/>
      <c r="B73" s="165"/>
      <c r="C73" s="2"/>
      <c r="D73" s="2"/>
      <c r="E73" s="2"/>
      <c r="F73" s="2"/>
      <c r="G73" s="2"/>
      <c r="H73" s="2"/>
      <c r="I73" s="2"/>
      <c r="J73" s="2"/>
      <c r="K73" s="2"/>
    </row>
    <row r="74" spans="1:12" ht="15">
      <c r="A74" s="151"/>
      <c r="B74" s="1"/>
      <c r="C74" s="2"/>
      <c r="D74" s="2"/>
      <c r="E74" s="2"/>
      <c r="F74" s="2"/>
      <c r="G74" s="2"/>
      <c r="H74" s="2"/>
      <c r="I74" s="2"/>
      <c r="J74" s="2"/>
      <c r="K74" s="2"/>
    </row>
    <row r="75" spans="1:12" ht="15">
      <c r="A75" s="151"/>
      <c r="B75" s="1"/>
      <c r="C75" s="2"/>
      <c r="D75" s="2"/>
      <c r="E75" s="2"/>
      <c r="F75" s="2"/>
      <c r="G75" s="2"/>
      <c r="H75" s="2"/>
      <c r="I75" s="2"/>
      <c r="J75" s="2"/>
      <c r="K75" s="2"/>
    </row>
    <row r="76" spans="1:12" ht="15">
      <c r="A76" s="151"/>
      <c r="B76" s="1"/>
      <c r="C76" s="2"/>
      <c r="D76" s="2"/>
      <c r="E76" s="2"/>
      <c r="F76" s="2"/>
      <c r="G76" s="2"/>
      <c r="H76" s="2"/>
      <c r="I76" s="2"/>
      <c r="J76" s="2"/>
      <c r="K76" s="2"/>
    </row>
    <row r="77" spans="1:12" ht="15">
      <c r="A77" s="151"/>
      <c r="B77" s="1"/>
      <c r="C77" s="2"/>
      <c r="D77" s="2"/>
      <c r="E77" s="2"/>
      <c r="F77" s="2"/>
      <c r="G77" s="2"/>
      <c r="H77" s="2"/>
      <c r="I77" s="2"/>
      <c r="J77" s="2"/>
      <c r="K77" s="2"/>
    </row>
    <row r="78" spans="1:12" s="134" customFormat="1" ht="15">
      <c r="A78" s="151"/>
      <c r="B78" s="1"/>
      <c r="C78" s="2"/>
      <c r="D78" s="2"/>
      <c r="E78" s="2"/>
      <c r="F78" s="2"/>
      <c r="G78" s="2"/>
      <c r="H78" s="2"/>
      <c r="I78" s="2"/>
      <c r="J78" s="2"/>
      <c r="K78" s="2"/>
      <c r="L78" s="720"/>
    </row>
    <row r="79" spans="1:12" s="134" customFormat="1" ht="15">
      <c r="A79" s="151"/>
      <c r="B79" s="1"/>
      <c r="C79" s="2"/>
      <c r="D79" s="2"/>
      <c r="E79" s="2"/>
      <c r="F79" s="2"/>
      <c r="G79" s="2"/>
      <c r="H79" s="2"/>
      <c r="I79" s="2"/>
      <c r="J79" s="2"/>
      <c r="K79" s="2"/>
      <c r="L79" s="720"/>
    </row>
    <row r="80" spans="1:12" s="134" customFormat="1" ht="15">
      <c r="A80" s="151"/>
      <c r="B80" s="1"/>
      <c r="C80" s="2"/>
      <c r="D80" s="2"/>
      <c r="E80" s="2"/>
      <c r="F80" s="2"/>
      <c r="G80" s="2"/>
      <c r="H80" s="2"/>
      <c r="I80" s="2"/>
      <c r="J80" s="2"/>
      <c r="K80" s="2"/>
      <c r="L80" s="720"/>
    </row>
    <row r="81" spans="1:12" s="134" customFormat="1" ht="15">
      <c r="A81" s="151"/>
      <c r="B81" s="1"/>
      <c r="C81" s="2"/>
      <c r="D81" s="2"/>
      <c r="E81" s="2"/>
      <c r="F81" s="2"/>
      <c r="G81" s="2"/>
      <c r="H81" s="2"/>
      <c r="I81" s="2"/>
      <c r="J81" s="2"/>
      <c r="K81" s="2"/>
      <c r="L81" s="720"/>
    </row>
    <row r="82" spans="1:12" s="134" customFormat="1" ht="15">
      <c r="A82" s="151"/>
      <c r="B82" s="1"/>
      <c r="C82" s="2"/>
      <c r="D82" s="2"/>
      <c r="E82" s="2"/>
      <c r="F82" s="2"/>
      <c r="G82" s="2"/>
      <c r="H82" s="2"/>
      <c r="I82" s="2"/>
      <c r="J82" s="2"/>
      <c r="K82" s="2"/>
      <c r="L82" s="720"/>
    </row>
    <row r="83" spans="1:12" s="134" customFormat="1" ht="15">
      <c r="A83" s="151"/>
      <c r="B83" s="1"/>
      <c r="C83" s="2"/>
      <c r="D83" s="2"/>
      <c r="E83" s="2"/>
      <c r="F83" s="2"/>
      <c r="G83" s="2"/>
      <c r="H83" s="2"/>
      <c r="I83" s="2"/>
      <c r="J83" s="2"/>
      <c r="K83" s="2"/>
      <c r="L83" s="720"/>
    </row>
    <row r="84" spans="1:12" s="134" customFormat="1">
      <c r="A84" s="151"/>
      <c r="B84" s="151"/>
      <c r="C84" s="167"/>
      <c r="D84" s="167"/>
      <c r="E84" s="168"/>
      <c r="F84" s="168"/>
      <c r="G84" s="168"/>
      <c r="H84" s="168"/>
      <c r="I84" s="168"/>
      <c r="J84" s="168"/>
      <c r="K84" s="168"/>
      <c r="L84" s="720"/>
    </row>
  </sheetData>
  <mergeCells count="2">
    <mergeCell ref="B1:K1"/>
    <mergeCell ref="B3:K6"/>
  </mergeCells>
  <printOptions horizontalCentered="1"/>
  <pageMargins left="0" right="0" top="0.5" bottom="0" header="0" footer="0"/>
  <pageSetup scale="70" orientation="portrait" r:id="rId1"/>
  <rowBreaks count="1" manualBreakCount="1">
    <brk id="83" max="16383" man="1"/>
  </rowBreaks>
  <drawing r:id="rId2"/>
</worksheet>
</file>

<file path=xl/worksheets/sheet7.xml><?xml version="1.0" encoding="utf-8"?>
<worksheet xmlns="http://schemas.openxmlformats.org/spreadsheetml/2006/main" xmlns:r="http://schemas.openxmlformats.org/officeDocument/2006/relationships">
  <dimension ref="A1:AD1105"/>
  <sheetViews>
    <sheetView zoomScaleNormal="100" zoomScaleSheetLayoutView="100" workbookViewId="0">
      <selection activeCell="N35" sqref="N35"/>
    </sheetView>
  </sheetViews>
  <sheetFormatPr defaultRowHeight="15"/>
  <cols>
    <col min="1" max="1" width="3.7109375" style="567" customWidth="1"/>
    <col min="2" max="2" width="33" style="567" customWidth="1"/>
    <col min="3" max="4" width="12.7109375" style="576" customWidth="1"/>
    <col min="5" max="11" width="12.7109375" style="577" customWidth="1"/>
    <col min="12" max="12" width="9.140625" style="572"/>
    <col min="13" max="13" width="9.140625" style="567"/>
    <col min="14" max="14" width="27.85546875" style="567" customWidth="1"/>
    <col min="15" max="15" width="11.85546875" style="567" customWidth="1"/>
    <col min="16" max="16384" width="9.140625" style="567"/>
  </cols>
  <sheetData>
    <row r="1" spans="1:30">
      <c r="A1" s="1"/>
      <c r="B1" s="740" t="s">
        <v>830</v>
      </c>
      <c r="C1" s="740"/>
      <c r="D1" s="740"/>
      <c r="E1" s="740"/>
      <c r="F1" s="740"/>
      <c r="G1" s="740"/>
      <c r="H1" s="740"/>
      <c r="I1" s="740"/>
      <c r="J1" s="740"/>
      <c r="K1" s="740"/>
    </row>
    <row r="2" spans="1:30" ht="7.5" customHeight="1">
      <c r="A2" s="1"/>
      <c r="B2" s="65"/>
      <c r="C2" s="3"/>
      <c r="D2" s="2"/>
      <c r="E2" s="2"/>
      <c r="F2" s="2"/>
      <c r="G2" s="2"/>
      <c r="H2" s="2"/>
      <c r="I2" s="2"/>
      <c r="J2" s="2"/>
      <c r="K2" s="2"/>
    </row>
    <row r="3" spans="1:30" ht="15" customHeight="1">
      <c r="A3" s="1"/>
      <c r="B3" s="731" t="s">
        <v>831</v>
      </c>
      <c r="C3" s="731"/>
      <c r="D3" s="731"/>
      <c r="E3" s="731"/>
      <c r="F3" s="731"/>
      <c r="G3" s="731"/>
      <c r="H3" s="731"/>
      <c r="I3" s="731"/>
      <c r="J3" s="731"/>
      <c r="K3" s="731"/>
    </row>
    <row r="4" spans="1:30">
      <c r="A4" s="1"/>
      <c r="B4" s="731"/>
      <c r="C4" s="731"/>
      <c r="D4" s="731"/>
      <c r="E4" s="731"/>
      <c r="F4" s="731"/>
      <c r="G4" s="731"/>
      <c r="H4" s="731"/>
      <c r="I4" s="731"/>
      <c r="J4" s="731"/>
      <c r="K4" s="731"/>
    </row>
    <row r="5" spans="1:30" ht="7.5" customHeight="1">
      <c r="A5" s="1"/>
      <c r="B5" s="563"/>
      <c r="C5" s="22"/>
      <c r="D5" s="22"/>
      <c r="E5" s="22"/>
      <c r="F5" s="22"/>
      <c r="G5" s="22"/>
      <c r="H5" s="2"/>
      <c r="I5" s="2"/>
      <c r="J5" s="2"/>
      <c r="K5" s="2"/>
    </row>
    <row r="6" spans="1:30">
      <c r="A6" s="1"/>
      <c r="B6" s="5"/>
      <c r="C6" s="65"/>
      <c r="D6" s="66"/>
      <c r="E6" s="65" t="s">
        <v>270</v>
      </c>
      <c r="F6" s="1"/>
      <c r="G6" s="1"/>
      <c r="H6" s="1"/>
      <c r="I6" s="1"/>
      <c r="J6" s="1"/>
      <c r="K6" s="1"/>
    </row>
    <row r="7" spans="1:30">
      <c r="A7" s="1"/>
      <c r="B7" s="66"/>
      <c r="C7" s="65" t="s">
        <v>257</v>
      </c>
      <c r="D7" s="49" t="s">
        <v>258</v>
      </c>
      <c r="E7" s="66" t="s">
        <v>832</v>
      </c>
      <c r="F7" s="66" t="s">
        <v>270</v>
      </c>
      <c r="G7" s="66" t="s">
        <v>271</v>
      </c>
      <c r="H7" s="66" t="s">
        <v>272</v>
      </c>
      <c r="I7" s="66" t="s">
        <v>996</v>
      </c>
      <c r="J7" s="66" t="s">
        <v>1101</v>
      </c>
      <c r="K7" s="66" t="s">
        <v>1136</v>
      </c>
    </row>
    <row r="8" spans="1:30" ht="15.75" thickBot="1">
      <c r="A8" s="1"/>
      <c r="B8" s="169"/>
      <c r="C8" s="68" t="s">
        <v>1</v>
      </c>
      <c r="D8" s="68" t="s">
        <v>1</v>
      </c>
      <c r="E8" s="68" t="s">
        <v>787</v>
      </c>
      <c r="F8" s="68" t="s">
        <v>19</v>
      </c>
      <c r="G8" s="68" t="s">
        <v>832</v>
      </c>
      <c r="H8" s="68" t="s">
        <v>19</v>
      </c>
      <c r="I8" s="68" t="s">
        <v>19</v>
      </c>
      <c r="J8" s="68" t="s">
        <v>19</v>
      </c>
      <c r="K8" s="68" t="s">
        <v>19</v>
      </c>
      <c r="O8" s="66"/>
    </row>
    <row r="9" spans="1:30">
      <c r="A9" s="1"/>
      <c r="B9" s="64"/>
      <c r="C9" s="170"/>
      <c r="D9" s="2"/>
      <c r="E9" s="2"/>
      <c r="F9" s="2"/>
      <c r="G9" s="2"/>
      <c r="H9" s="2"/>
      <c r="I9" s="2"/>
      <c r="J9" s="2"/>
      <c r="K9" s="2"/>
      <c r="O9" s="669"/>
    </row>
    <row r="10" spans="1:30">
      <c r="A10" s="1"/>
      <c r="B10" s="158" t="s">
        <v>833</v>
      </c>
      <c r="C10" s="2"/>
      <c r="D10" s="2"/>
      <c r="E10" s="2"/>
      <c r="F10" s="2"/>
      <c r="G10" s="2"/>
      <c r="H10" s="2"/>
      <c r="I10" s="2"/>
      <c r="J10" s="2"/>
      <c r="K10" s="2"/>
    </row>
    <row r="11" spans="1:30" ht="20.100000000000001" customHeight="1">
      <c r="A11" s="1"/>
      <c r="B11" s="506" t="s">
        <v>834</v>
      </c>
      <c r="C11" s="2">
        <f>SUM('Budget Detail FY 2013-20'!L9:L26)</f>
        <v>9319683</v>
      </c>
      <c r="D11" s="2">
        <f>SUM('Budget Detail FY 2013-20'!M9:M26)</f>
        <v>9607999</v>
      </c>
      <c r="E11" s="2">
        <f>SUM('Budget Detail FY 2013-20'!N9:N26)</f>
        <v>9891724</v>
      </c>
      <c r="F11" s="2">
        <f>SUM('Budget Detail FY 2013-20'!O9:O26)</f>
        <v>10015821</v>
      </c>
      <c r="G11" s="2">
        <f>SUM('Budget Detail FY 2013-20'!P9:P26)</f>
        <v>10229937</v>
      </c>
      <c r="H11" s="2">
        <f>SUM('Budget Detail FY 2013-20'!Q9:Q26)</f>
        <v>10302037</v>
      </c>
      <c r="I11" s="2">
        <f>SUM('Budget Detail FY 2013-20'!R9:R26)</f>
        <v>10392928</v>
      </c>
      <c r="J11" s="2">
        <f>SUM('Budget Detail FY 2013-20'!S9:S26)</f>
        <v>10506767</v>
      </c>
      <c r="K11" s="2">
        <f>SUM('Budget Detail FY 2013-20'!T9:T26)</f>
        <v>10578834</v>
      </c>
      <c r="N11" s="506"/>
      <c r="O11" s="568"/>
      <c r="Z11" s="672"/>
      <c r="AA11" s="672"/>
      <c r="AB11" s="672"/>
      <c r="AC11" s="672"/>
      <c r="AD11" s="672"/>
    </row>
    <row r="12" spans="1:30" ht="20.100000000000001" customHeight="1">
      <c r="A12" s="1"/>
      <c r="B12" s="506" t="s">
        <v>835</v>
      </c>
      <c r="C12" s="2">
        <f>SUM('Budget Detail FY 2013-20'!L27:L34)</f>
        <v>2078457</v>
      </c>
      <c r="D12" s="2">
        <f>SUM('Budget Detail FY 2013-20'!M27:M34)</f>
        <v>2120327</v>
      </c>
      <c r="E12" s="2">
        <f>SUM('Budget Detail FY 2013-20'!N27:N34)</f>
        <v>2157200</v>
      </c>
      <c r="F12" s="2">
        <f>SUM('Budget Detail FY 2013-20'!O27:O34)</f>
        <v>2166246</v>
      </c>
      <c r="G12" s="2">
        <f>SUM('Budget Detail FY 2013-20'!P27:P34)</f>
        <v>2178100</v>
      </c>
      <c r="H12" s="2">
        <f>SUM('Budget Detail FY 2013-20'!Q27:Q34)</f>
        <v>2185036</v>
      </c>
      <c r="I12" s="2">
        <f>SUM('Budget Detail FY 2013-20'!R27:R34)</f>
        <v>2192111</v>
      </c>
      <c r="J12" s="2">
        <f>SUM('Budget Detail FY 2013-20'!S27:S34)</f>
        <v>2204327</v>
      </c>
      <c r="K12" s="2">
        <f>SUM('Budget Detail FY 2013-20'!T27:T34)</f>
        <v>2211688</v>
      </c>
      <c r="N12" s="506"/>
      <c r="O12" s="568"/>
    </row>
    <row r="13" spans="1:30" ht="20.100000000000001" customHeight="1">
      <c r="A13" s="1"/>
      <c r="B13" s="507" t="s">
        <v>836</v>
      </c>
      <c r="C13" s="2">
        <f>SUM('Budget Detail FY 2013-20'!L35:L37)</f>
        <v>168831</v>
      </c>
      <c r="D13" s="2">
        <f>SUM('Budget Detail FY 2013-20'!M35:M37)</f>
        <v>168119</v>
      </c>
      <c r="E13" s="2">
        <f>SUM('Budget Detail FY 2013-20'!N35:N37)</f>
        <v>193000</v>
      </c>
      <c r="F13" s="2">
        <f>SUM('Budget Detail FY 2013-20'!O35:O37)</f>
        <v>178000</v>
      </c>
      <c r="G13" s="2">
        <f>SUM('Budget Detail FY 2013-20'!P35:P37)</f>
        <v>198000</v>
      </c>
      <c r="H13" s="2">
        <f>SUM('Budget Detail FY 2013-20'!Q35:Q37)</f>
        <v>198000</v>
      </c>
      <c r="I13" s="2">
        <f>SUM('Budget Detail FY 2013-20'!R35:R37)</f>
        <v>223000</v>
      </c>
      <c r="J13" s="2">
        <f>SUM('Budget Detail FY 2013-20'!S35:S37)</f>
        <v>223000</v>
      </c>
      <c r="K13" s="2">
        <f>SUM('Budget Detail FY 2013-20'!T35:T37)</f>
        <v>223000</v>
      </c>
      <c r="N13" s="507"/>
      <c r="O13" s="568"/>
    </row>
    <row r="14" spans="1:30" ht="20.100000000000001" customHeight="1">
      <c r="A14" s="1"/>
      <c r="B14" s="507" t="s">
        <v>837</v>
      </c>
      <c r="C14" s="2">
        <f>SUM('Budget Detail FY 2013-20'!L38:L41)</f>
        <v>169144</v>
      </c>
      <c r="D14" s="2">
        <f>SUM('Budget Detail FY 2013-20'!M38:M41)</f>
        <v>173954</v>
      </c>
      <c r="E14" s="2">
        <f>SUM('Budget Detail FY 2013-20'!N38:N41)</f>
        <v>175250</v>
      </c>
      <c r="F14" s="2">
        <f>SUM('Budget Detail FY 2013-20'!O38:O41)</f>
        <v>160250</v>
      </c>
      <c r="G14" s="2">
        <f>SUM('Budget Detail FY 2013-20'!P38:P41)</f>
        <v>160250</v>
      </c>
      <c r="H14" s="2">
        <f>SUM('Budget Detail FY 2013-20'!Q38:Q41)</f>
        <v>160250</v>
      </c>
      <c r="I14" s="2">
        <f>SUM('Budget Detail FY 2013-20'!R38:R41)</f>
        <v>160250</v>
      </c>
      <c r="J14" s="2">
        <f>SUM('Budget Detail FY 2013-20'!S38:S41)</f>
        <v>160250</v>
      </c>
      <c r="K14" s="2">
        <f>SUM('Budget Detail FY 2013-20'!T38:T41)</f>
        <v>160250</v>
      </c>
      <c r="N14" s="507"/>
      <c r="O14" s="568"/>
    </row>
    <row r="15" spans="1:30" ht="20.100000000000001" customHeight="1">
      <c r="A15" s="1"/>
      <c r="B15" s="507" t="s">
        <v>838</v>
      </c>
      <c r="C15" s="2">
        <f>SUM('Budget Detail FY 2013-20'!L42:L45)</f>
        <v>1199908</v>
      </c>
      <c r="D15" s="2">
        <f>SUM('Budget Detail FY 2013-20'!M42:M45)</f>
        <v>1175166</v>
      </c>
      <c r="E15" s="2">
        <f>SUM('Budget Detail FY 2013-20'!N42:N45)</f>
        <v>1203201</v>
      </c>
      <c r="F15" s="2">
        <f>SUM('Budget Detail FY 2013-20'!O42:O45)</f>
        <v>1286500</v>
      </c>
      <c r="G15" s="2">
        <f>SUM('Budget Detail FY 2013-20'!P42:P45)</f>
        <v>1319950</v>
      </c>
      <c r="H15" s="2">
        <f>SUM('Budget Detail FY 2013-20'!Q42:Q45)</f>
        <v>1354404</v>
      </c>
      <c r="I15" s="2">
        <f>SUM('Budget Detail FY 2013-20'!R42:R45)</f>
        <v>1389891</v>
      </c>
      <c r="J15" s="2">
        <f>SUM('Budget Detail FY 2013-20'!S42:S45)</f>
        <v>1426443</v>
      </c>
      <c r="K15" s="2">
        <f>SUM('Budget Detail FY 2013-20'!T42:T45)</f>
        <v>1464091</v>
      </c>
      <c r="N15" s="507"/>
      <c r="O15" s="568"/>
    </row>
    <row r="16" spans="1:30" ht="20.100000000000001" customHeight="1">
      <c r="A16" s="1"/>
      <c r="B16" s="507" t="s">
        <v>839</v>
      </c>
      <c r="C16" s="2">
        <f>SUM('Budget Detail FY 2013-20'!L46)</f>
        <v>7287</v>
      </c>
      <c r="D16" s="2">
        <f>SUM('Budget Detail FY 2013-20'!M46)</f>
        <v>8792</v>
      </c>
      <c r="E16" s="2">
        <f>SUM('Budget Detail FY 2013-20'!N46)</f>
        <v>8000</v>
      </c>
      <c r="F16" s="2">
        <f>SUM('Budget Detail FY 2013-20'!O46)</f>
        <v>5250</v>
      </c>
      <c r="G16" s="2">
        <f>SUM('Budget Detail FY 2013-20'!P46)</f>
        <v>4000</v>
      </c>
      <c r="H16" s="2">
        <f>SUM('Budget Detail FY 2013-20'!Q46)</f>
        <v>4000</v>
      </c>
      <c r="I16" s="2">
        <f>SUM('Budget Detail FY 2013-20'!R46)</f>
        <v>4000</v>
      </c>
      <c r="J16" s="2">
        <f>SUM('Budget Detail FY 2013-20'!S46)</f>
        <v>4000</v>
      </c>
      <c r="K16" s="2">
        <f>SUM('Budget Detail FY 2013-20'!T46)</f>
        <v>4000</v>
      </c>
      <c r="N16" s="507"/>
      <c r="O16" s="568"/>
    </row>
    <row r="17" spans="1:15" ht="20.100000000000001" customHeight="1">
      <c r="A17" s="1"/>
      <c r="B17" s="507" t="s">
        <v>840</v>
      </c>
      <c r="C17" s="2">
        <f>SUM('Budget Detail FY 2013-20'!L47:L55)</f>
        <v>238535</v>
      </c>
      <c r="D17" s="2">
        <f>SUM('Budget Detail FY 2013-20'!M47:M55)</f>
        <v>168974</v>
      </c>
      <c r="E17" s="2">
        <f>SUM('Budget Detail FY 2013-20'!N47:N55)</f>
        <v>80000</v>
      </c>
      <c r="F17" s="2">
        <f>SUM('Budget Detail FY 2013-20'!O47:O55)</f>
        <v>80000</v>
      </c>
      <c r="G17" s="2">
        <f>SUM('Budget Detail FY 2013-20'!P47:P55)</f>
        <v>80000</v>
      </c>
      <c r="H17" s="2">
        <f>SUM('Budget Detail FY 2013-20'!Q47:Q55)</f>
        <v>80000</v>
      </c>
      <c r="I17" s="2">
        <f>SUM('Budget Detail FY 2013-20'!R47:R55)</f>
        <v>80000</v>
      </c>
      <c r="J17" s="2">
        <f>SUM('Budget Detail FY 2013-20'!S47:S55)</f>
        <v>80000</v>
      </c>
      <c r="K17" s="2">
        <f>SUM('Budget Detail FY 2013-20'!T47:T55)</f>
        <v>80000</v>
      </c>
    </row>
    <row r="18" spans="1:15" ht="20.100000000000001" customHeight="1">
      <c r="A18" s="1"/>
      <c r="B18" s="507" t="s">
        <v>841</v>
      </c>
      <c r="C18" s="2">
        <f>SUM('Budget Detail FY 2013-20'!L56:L58)</f>
        <v>132965</v>
      </c>
      <c r="D18" s="2">
        <f>SUM('Budget Detail FY 2013-20'!M56:M58)</f>
        <v>19335</v>
      </c>
      <c r="E18" s="2">
        <f>SUM('Budget Detail FY 2013-20'!N56:N58)</f>
        <v>13000</v>
      </c>
      <c r="F18" s="2">
        <f>SUM('Budget Detail FY 2013-20'!O56:O58)</f>
        <v>22500</v>
      </c>
      <c r="G18" s="2">
        <f>SUM('Budget Detail FY 2013-20'!P56:P58)</f>
        <v>22500</v>
      </c>
      <c r="H18" s="2">
        <f>SUM('Budget Detail FY 2013-20'!Q56:Q58)</f>
        <v>24500</v>
      </c>
      <c r="I18" s="2">
        <f>SUM('Budget Detail FY 2013-20'!R56:R58)</f>
        <v>24500</v>
      </c>
      <c r="J18" s="2">
        <f>SUM('Budget Detail FY 2013-20'!S56:S58)</f>
        <v>24500</v>
      </c>
      <c r="K18" s="2">
        <f>SUM('Budget Detail FY 2013-20'!T56:T58)</f>
        <v>24500</v>
      </c>
      <c r="N18" s="507"/>
      <c r="O18" s="568"/>
    </row>
    <row r="19" spans="1:15" ht="20.100000000000001" customHeight="1">
      <c r="A19" s="1"/>
      <c r="B19" s="507" t="s">
        <v>842</v>
      </c>
      <c r="C19" s="2">
        <f>SUM('Budget Detail FY 2013-20'!L59:L60)</f>
        <v>0</v>
      </c>
      <c r="D19" s="2">
        <f>SUM('Budget Detail FY 2013-20'!M59:M60)</f>
        <v>2479</v>
      </c>
      <c r="E19" s="2">
        <f>SUM('Budget Detail FY 2013-20'!N59:N60)</f>
        <v>5250</v>
      </c>
      <c r="F19" s="2">
        <f>SUM('Budget Detail FY 2013-20'!O59:O60)</f>
        <v>2500</v>
      </c>
      <c r="G19" s="2">
        <f>SUM('Budget Detail FY 2013-20'!P59:P60)</f>
        <v>7900</v>
      </c>
      <c r="H19" s="2">
        <f>SUM('Budget Detail FY 2013-20'!Q59:Q60)</f>
        <v>2500</v>
      </c>
      <c r="I19" s="2">
        <f>SUM('Budget Detail FY 2013-20'!R59:R60)</f>
        <v>2500</v>
      </c>
      <c r="J19" s="2">
        <f>SUM('Budget Detail FY 2013-20'!S59:S60)</f>
        <v>2500</v>
      </c>
      <c r="K19" s="2">
        <f>SUM('Budget Detail FY 2013-20'!T59:T60)</f>
        <v>2500</v>
      </c>
      <c r="N19" s="507"/>
      <c r="O19" s="568"/>
    </row>
    <row r="20" spans="1:15" ht="20.100000000000001" customHeight="1" thickBot="1">
      <c r="A20" s="1"/>
      <c r="B20" s="153" t="s">
        <v>843</v>
      </c>
      <c r="C20" s="150">
        <f>SUM(C11:C19)</f>
        <v>13314810</v>
      </c>
      <c r="D20" s="150">
        <f t="shared" ref="D20:J20" si="0">SUM(D11:D19)</f>
        <v>13445145</v>
      </c>
      <c r="E20" s="150">
        <f t="shared" si="0"/>
        <v>13726625</v>
      </c>
      <c r="F20" s="150">
        <f t="shared" si="0"/>
        <v>13917067</v>
      </c>
      <c r="G20" s="150">
        <f>SUM(G11:G19)</f>
        <v>14200637</v>
      </c>
      <c r="H20" s="150">
        <f t="shared" si="0"/>
        <v>14310727</v>
      </c>
      <c r="I20" s="150">
        <f t="shared" si="0"/>
        <v>14469180</v>
      </c>
      <c r="J20" s="150">
        <f t="shared" si="0"/>
        <v>14631787</v>
      </c>
      <c r="K20" s="150">
        <f>SUM(K11:K19)</f>
        <v>14748863</v>
      </c>
    </row>
    <row r="21" spans="1:15" s="569" customFormat="1" hidden="1">
      <c r="A21" s="179"/>
      <c r="B21" s="155"/>
      <c r="C21" s="132">
        <f>'Budget Detail FY 2013-20'!L62</f>
        <v>13314810</v>
      </c>
      <c r="D21" s="132">
        <f>'Budget Detail FY 2013-20'!M62</f>
        <v>13445145</v>
      </c>
      <c r="E21" s="132">
        <f>'Budget Detail FY 2013-20'!N62</f>
        <v>13726625</v>
      </c>
      <c r="F21" s="132">
        <f>'Budget Detail FY 2013-20'!O62</f>
        <v>13917067</v>
      </c>
      <c r="G21" s="132">
        <f>'Budget Detail FY 2013-20'!P62</f>
        <v>14200637</v>
      </c>
      <c r="H21" s="132">
        <f>'Budget Detail FY 2013-20'!Q62</f>
        <v>14310727</v>
      </c>
      <c r="I21" s="132">
        <f>'Budget Detail FY 2013-20'!R62</f>
        <v>14469180</v>
      </c>
      <c r="J21" s="132">
        <f>'Budget Detail FY 2013-20'!S62</f>
        <v>14631787</v>
      </c>
      <c r="K21" s="132">
        <f>'Budget Detail FY 2013-20'!T62</f>
        <v>14748863</v>
      </c>
      <c r="L21" s="571" t="s">
        <v>1150</v>
      </c>
    </row>
    <row r="22" spans="1:15" s="570" customFormat="1" hidden="1">
      <c r="A22" s="180"/>
      <c r="B22" s="157"/>
      <c r="C22" s="163">
        <f>C20-C21</f>
        <v>0</v>
      </c>
      <c r="D22" s="163">
        <f t="shared" ref="D22:K22" si="1">D20-D21</f>
        <v>0</v>
      </c>
      <c r="E22" s="163">
        <f t="shared" si="1"/>
        <v>0</v>
      </c>
      <c r="F22" s="163">
        <f t="shared" si="1"/>
        <v>0</v>
      </c>
      <c r="G22" s="163">
        <f t="shared" si="1"/>
        <v>0</v>
      </c>
      <c r="H22" s="163">
        <f t="shared" si="1"/>
        <v>0</v>
      </c>
      <c r="I22" s="163">
        <f t="shared" si="1"/>
        <v>0</v>
      </c>
      <c r="J22" s="163">
        <f t="shared" si="1"/>
        <v>0</v>
      </c>
      <c r="K22" s="163">
        <f t="shared" si="1"/>
        <v>0</v>
      </c>
      <c r="L22" s="571" t="s">
        <v>1151</v>
      </c>
    </row>
    <row r="23" spans="1:15" ht="7.5" customHeight="1">
      <c r="A23" s="1"/>
      <c r="B23" s="1"/>
      <c r="C23" s="2"/>
      <c r="D23" s="2"/>
      <c r="E23" s="2"/>
      <c r="F23" s="2"/>
      <c r="G23" s="2"/>
      <c r="H23" s="2"/>
      <c r="I23" s="2"/>
      <c r="J23" s="2"/>
      <c r="K23" s="2"/>
    </row>
    <row r="24" spans="1:15">
      <c r="A24" s="1"/>
      <c r="B24" s="158" t="s">
        <v>598</v>
      </c>
      <c r="C24" s="2"/>
      <c r="D24" s="567"/>
      <c r="E24" s="567"/>
      <c r="F24" s="567"/>
      <c r="G24" s="567"/>
      <c r="H24" s="567"/>
      <c r="I24" s="567"/>
      <c r="J24" s="567"/>
      <c r="K24" s="567"/>
    </row>
    <row r="25" spans="1:15" ht="20.100000000000001" customHeight="1">
      <c r="A25" s="1"/>
      <c r="B25" s="508" t="s">
        <v>844</v>
      </c>
      <c r="C25" s="2">
        <f>'Gen Fd Cover Sheets'!C12+'Gen Fd Cover Sheets'!C46+'Gen Fd Cover Sheets'!C77+'Gen Fd Cover Sheets'!C113+'Gen Fd Cover Sheets'!C144+'Gen Fd Cover Sheets'!C178</f>
        <v>3170404</v>
      </c>
      <c r="D25" s="2">
        <f>'Gen Fd Cover Sheets'!D12+'Gen Fd Cover Sheets'!D46+'Gen Fd Cover Sheets'!D77+'Gen Fd Cover Sheets'!D113+'Gen Fd Cover Sheets'!D144+'Gen Fd Cover Sheets'!D178</f>
        <v>3437661</v>
      </c>
      <c r="E25" s="2">
        <f>'Gen Fd Cover Sheets'!E12+'Gen Fd Cover Sheets'!E46+'Gen Fd Cover Sheets'!E77+'Gen Fd Cover Sheets'!E113+'Gen Fd Cover Sheets'!E144+'Gen Fd Cover Sheets'!E178</f>
        <v>3967218</v>
      </c>
      <c r="F25" s="2">
        <f>'Gen Fd Cover Sheets'!F12+'Gen Fd Cover Sheets'!F46+'Gen Fd Cover Sheets'!F77+'Gen Fd Cover Sheets'!F113+'Gen Fd Cover Sheets'!F144+'Gen Fd Cover Sheets'!F178</f>
        <v>3961718</v>
      </c>
      <c r="G25" s="2">
        <f>'Gen Fd Cover Sheets'!G12+'Gen Fd Cover Sheets'!G46+'Gen Fd Cover Sheets'!G77+'Gen Fd Cover Sheets'!G113+'Gen Fd Cover Sheets'!G144+'Gen Fd Cover Sheets'!G178</f>
        <v>4113253</v>
      </c>
      <c r="H25" s="2">
        <f>'Gen Fd Cover Sheets'!H12+'Gen Fd Cover Sheets'!H46+'Gen Fd Cover Sheets'!H77+'Gen Fd Cover Sheets'!H113+'Gen Fd Cover Sheets'!H144+'Gen Fd Cover Sheets'!H178</f>
        <v>4247257</v>
      </c>
      <c r="I25" s="2">
        <f>'Gen Fd Cover Sheets'!I12+'Gen Fd Cover Sheets'!I46+'Gen Fd Cover Sheets'!I77+'Gen Fd Cover Sheets'!I113+'Gen Fd Cover Sheets'!I144+'Gen Fd Cover Sheets'!I178</f>
        <v>4382328</v>
      </c>
      <c r="J25" s="2">
        <f>'Gen Fd Cover Sheets'!J12+'Gen Fd Cover Sheets'!J46+'Gen Fd Cover Sheets'!J77+'Gen Fd Cover Sheets'!J113+'Gen Fd Cover Sheets'!J144+'Gen Fd Cover Sheets'!J178</f>
        <v>4522125</v>
      </c>
      <c r="K25" s="2">
        <f>'Gen Fd Cover Sheets'!K12+'Gen Fd Cover Sheets'!K46+'Gen Fd Cover Sheets'!K77+'Gen Fd Cover Sheets'!K113+'Gen Fd Cover Sheets'!K144+'Gen Fd Cover Sheets'!K178</f>
        <v>4666817</v>
      </c>
    </row>
    <row r="26" spans="1:15" ht="20.100000000000001" customHeight="1">
      <c r="A26" s="1"/>
      <c r="B26" s="508" t="s">
        <v>845</v>
      </c>
      <c r="C26" s="2">
        <f>'Gen Fd Cover Sheets'!C13+'Gen Fd Cover Sheets'!C47+'Gen Fd Cover Sheets'!C78+'Gen Fd Cover Sheets'!C114+'Gen Fd Cover Sheets'!C145+'Gen Fd Cover Sheets'!C179</f>
        <v>1909160</v>
      </c>
      <c r="D26" s="2">
        <f>'Gen Fd Cover Sheets'!D13+'Gen Fd Cover Sheets'!D47+'Gen Fd Cover Sheets'!D78+'Gen Fd Cover Sheets'!D114+'Gen Fd Cover Sheets'!D145+'Gen Fd Cover Sheets'!D179</f>
        <v>2052895</v>
      </c>
      <c r="E26" s="2">
        <f>'Gen Fd Cover Sheets'!E13+'Gen Fd Cover Sheets'!E47+'Gen Fd Cover Sheets'!E78+'Gen Fd Cover Sheets'!E114+'Gen Fd Cover Sheets'!E145+'Gen Fd Cover Sheets'!E179</f>
        <v>2470227</v>
      </c>
      <c r="F26" s="2">
        <f>'Gen Fd Cover Sheets'!F13+'Gen Fd Cover Sheets'!F47+'Gen Fd Cover Sheets'!F78+'Gen Fd Cover Sheets'!F114+'Gen Fd Cover Sheets'!F145+'Gen Fd Cover Sheets'!F179</f>
        <v>2441200</v>
      </c>
      <c r="G26" s="2">
        <f>'Gen Fd Cover Sheets'!G13+'Gen Fd Cover Sheets'!G47+'Gen Fd Cover Sheets'!G78+'Gen Fd Cover Sheets'!G114+'Gen Fd Cover Sheets'!G145+'Gen Fd Cover Sheets'!G179</f>
        <v>2545610</v>
      </c>
      <c r="H26" s="2">
        <f>'Gen Fd Cover Sheets'!H13+'Gen Fd Cover Sheets'!H47+'Gen Fd Cover Sheets'!H78+'Gen Fd Cover Sheets'!H114+'Gen Fd Cover Sheets'!H145+'Gen Fd Cover Sheets'!H179</f>
        <v>2716600</v>
      </c>
      <c r="I26" s="2">
        <f>'Gen Fd Cover Sheets'!I13+'Gen Fd Cover Sheets'!I47+'Gen Fd Cover Sheets'!I78+'Gen Fd Cover Sheets'!I114+'Gen Fd Cover Sheets'!I145+'Gen Fd Cover Sheets'!I179</f>
        <v>2992136</v>
      </c>
      <c r="J26" s="2">
        <f>'Gen Fd Cover Sheets'!J13+'Gen Fd Cover Sheets'!J47+'Gen Fd Cover Sheets'!J78+'Gen Fd Cover Sheets'!J114+'Gen Fd Cover Sheets'!J145+'Gen Fd Cover Sheets'!J179</f>
        <v>3194879</v>
      </c>
      <c r="K26" s="2">
        <f>'Gen Fd Cover Sheets'!K13+'Gen Fd Cover Sheets'!K47+'Gen Fd Cover Sheets'!K78+'Gen Fd Cover Sheets'!K114+'Gen Fd Cover Sheets'!K145+'Gen Fd Cover Sheets'!K179</f>
        <v>3409508</v>
      </c>
    </row>
    <row r="27" spans="1:15" ht="20.100000000000001" customHeight="1">
      <c r="A27" s="1"/>
      <c r="B27" s="508" t="s">
        <v>846</v>
      </c>
      <c r="C27" s="2">
        <f>'Gen Fd Cover Sheets'!C14+'Gen Fd Cover Sheets'!C48+'Gen Fd Cover Sheets'!C79+'Gen Fd Cover Sheets'!C115+'Gen Fd Cover Sheets'!C146+'Gen Fd Cover Sheets'!C180</f>
        <v>3520085</v>
      </c>
      <c r="D27" s="2">
        <f>'Gen Fd Cover Sheets'!D14+'Gen Fd Cover Sheets'!D48+'Gen Fd Cover Sheets'!D79+'Gen Fd Cover Sheets'!D115+'Gen Fd Cover Sheets'!D146+'Gen Fd Cover Sheets'!D180</f>
        <v>4267482</v>
      </c>
      <c r="E27" s="2">
        <f>'Gen Fd Cover Sheets'!E14+'Gen Fd Cover Sheets'!E48+'Gen Fd Cover Sheets'!E79+'Gen Fd Cover Sheets'!E115+'Gen Fd Cover Sheets'!E146+'Gen Fd Cover Sheets'!E180</f>
        <v>4283415</v>
      </c>
      <c r="F27" s="2">
        <f>'Gen Fd Cover Sheets'!F14+'Gen Fd Cover Sheets'!F48+'Gen Fd Cover Sheets'!F79+'Gen Fd Cover Sheets'!F115+'Gen Fd Cover Sheets'!F146+'Gen Fd Cover Sheets'!F180</f>
        <v>4426649</v>
      </c>
      <c r="G27" s="2">
        <f>'Gen Fd Cover Sheets'!G14+'Gen Fd Cover Sheets'!G48+'Gen Fd Cover Sheets'!G79+'Gen Fd Cover Sheets'!G115+'Gen Fd Cover Sheets'!G146+'Gen Fd Cover Sheets'!G180</f>
        <v>4807155</v>
      </c>
      <c r="H27" s="2">
        <f>'Gen Fd Cover Sheets'!H14+'Gen Fd Cover Sheets'!H48+'Gen Fd Cover Sheets'!H79+'Gen Fd Cover Sheets'!H115+'Gen Fd Cover Sheets'!H146+'Gen Fd Cover Sheets'!H180</f>
        <v>4702712</v>
      </c>
      <c r="I27" s="2">
        <f>'Gen Fd Cover Sheets'!I14+'Gen Fd Cover Sheets'!I48+'Gen Fd Cover Sheets'!I79+'Gen Fd Cover Sheets'!I115+'Gen Fd Cover Sheets'!I146+'Gen Fd Cover Sheets'!I180</f>
        <v>4744573</v>
      </c>
      <c r="J27" s="2">
        <f>'Gen Fd Cover Sheets'!J14+'Gen Fd Cover Sheets'!J48+'Gen Fd Cover Sheets'!J79+'Gen Fd Cover Sheets'!J115+'Gen Fd Cover Sheets'!J146+'Gen Fd Cover Sheets'!J180</f>
        <v>4836391</v>
      </c>
      <c r="K27" s="2">
        <f>'Gen Fd Cover Sheets'!K14+'Gen Fd Cover Sheets'!K48+'Gen Fd Cover Sheets'!K79+'Gen Fd Cover Sheets'!K115+'Gen Fd Cover Sheets'!K146+'Gen Fd Cover Sheets'!K180</f>
        <v>4914578</v>
      </c>
    </row>
    <row r="28" spans="1:15" ht="20.100000000000001" customHeight="1">
      <c r="A28" s="1"/>
      <c r="B28" s="508" t="s">
        <v>847</v>
      </c>
      <c r="C28" s="2">
        <f>'Gen Fd Cover Sheets'!C15+'Gen Fd Cover Sheets'!C49+'Gen Fd Cover Sheets'!C80+'Gen Fd Cover Sheets'!C116+'Gen Fd Cover Sheets'!C147+'Gen Fd Cover Sheets'!C181</f>
        <v>260466</v>
      </c>
      <c r="D28" s="2">
        <f>'Gen Fd Cover Sheets'!D15+'Gen Fd Cover Sheets'!D49+'Gen Fd Cover Sheets'!D80+'Gen Fd Cover Sheets'!D116+'Gen Fd Cover Sheets'!D147+'Gen Fd Cover Sheets'!D181</f>
        <v>247990</v>
      </c>
      <c r="E28" s="2">
        <f>'Gen Fd Cover Sheets'!E15+'Gen Fd Cover Sheets'!E49+'Gen Fd Cover Sheets'!E80+'Gen Fd Cover Sheets'!E116+'Gen Fd Cover Sheets'!E147+'Gen Fd Cover Sheets'!E181</f>
        <v>300299</v>
      </c>
      <c r="F28" s="2">
        <f>'Gen Fd Cover Sheets'!F15+'Gen Fd Cover Sheets'!F49+'Gen Fd Cover Sheets'!F80+'Gen Fd Cover Sheets'!F116+'Gen Fd Cover Sheets'!F147+'Gen Fd Cover Sheets'!F181</f>
        <v>298199</v>
      </c>
      <c r="G28" s="2">
        <f>'Gen Fd Cover Sheets'!G15+'Gen Fd Cover Sheets'!G49+'Gen Fd Cover Sheets'!G80+'Gen Fd Cover Sheets'!G116+'Gen Fd Cover Sheets'!G147+'Gen Fd Cover Sheets'!G181</f>
        <v>284861</v>
      </c>
      <c r="H28" s="2">
        <f>'Gen Fd Cover Sheets'!H15+'Gen Fd Cover Sheets'!H49+'Gen Fd Cover Sheets'!H80+'Gen Fd Cover Sheets'!H116+'Gen Fd Cover Sheets'!H147+'Gen Fd Cover Sheets'!H181</f>
        <v>294845</v>
      </c>
      <c r="I28" s="2">
        <f>'Gen Fd Cover Sheets'!I15+'Gen Fd Cover Sheets'!I49+'Gen Fd Cover Sheets'!I80+'Gen Fd Cover Sheets'!I116+'Gen Fd Cover Sheets'!I147+'Gen Fd Cover Sheets'!I181</f>
        <v>304871</v>
      </c>
      <c r="J28" s="2">
        <f>'Gen Fd Cover Sheets'!J15+'Gen Fd Cover Sheets'!J49+'Gen Fd Cover Sheets'!J80+'Gen Fd Cover Sheets'!J116+'Gen Fd Cover Sheets'!J147+'Gen Fd Cover Sheets'!J181</f>
        <v>315583</v>
      </c>
      <c r="K28" s="2">
        <f>'Gen Fd Cover Sheets'!K15+'Gen Fd Cover Sheets'!K49+'Gen Fd Cover Sheets'!K80+'Gen Fd Cover Sheets'!K116+'Gen Fd Cover Sheets'!K147+'Gen Fd Cover Sheets'!K181</f>
        <v>327028</v>
      </c>
    </row>
    <row r="29" spans="1:15" ht="20.100000000000001" customHeight="1">
      <c r="A29" s="1"/>
      <c r="B29" s="509" t="s">
        <v>849</v>
      </c>
      <c r="C29" s="2">
        <f>'Gen Fd Cover Sheets'!C182</f>
        <v>0</v>
      </c>
      <c r="D29" s="2">
        <f>'Gen Fd Cover Sheets'!D182</f>
        <v>11676</v>
      </c>
      <c r="E29" s="2">
        <f>'Gen Fd Cover Sheets'!E182</f>
        <v>0</v>
      </c>
      <c r="F29" s="2">
        <f>'Gen Fd Cover Sheets'!F182</f>
        <v>0</v>
      </c>
      <c r="G29" s="2">
        <f>'Gen Fd Cover Sheets'!G182</f>
        <v>0</v>
      </c>
      <c r="H29" s="2">
        <f>'Gen Fd Cover Sheets'!H182</f>
        <v>0</v>
      </c>
      <c r="I29" s="2">
        <f>'Gen Fd Cover Sheets'!I182</f>
        <v>0</v>
      </c>
      <c r="J29" s="2">
        <f>'Gen Fd Cover Sheets'!J182</f>
        <v>0</v>
      </c>
      <c r="K29" s="2">
        <f>'Gen Fd Cover Sheets'!K182</f>
        <v>0</v>
      </c>
    </row>
    <row r="30" spans="1:15" ht="20.100000000000001" customHeight="1">
      <c r="A30" s="1"/>
      <c r="B30" s="509" t="s">
        <v>850</v>
      </c>
      <c r="C30" s="2">
        <f>'Gen Fd Cover Sheets'!C183</f>
        <v>1501502</v>
      </c>
      <c r="D30" s="2">
        <f>'Gen Fd Cover Sheets'!D183</f>
        <v>3790688</v>
      </c>
      <c r="E30" s="2">
        <f>'Gen Fd Cover Sheets'!E183</f>
        <v>2548953</v>
      </c>
      <c r="F30" s="2">
        <f>'Gen Fd Cover Sheets'!F183</f>
        <v>2549277</v>
      </c>
      <c r="G30" s="2">
        <f>'Gen Fd Cover Sheets'!G183</f>
        <v>2439756</v>
      </c>
      <c r="H30" s="2">
        <f>'Gen Fd Cover Sheets'!H183</f>
        <v>2871215</v>
      </c>
      <c r="I30" s="2">
        <f>'Gen Fd Cover Sheets'!I183</f>
        <v>2950116</v>
      </c>
      <c r="J30" s="2">
        <f>'Gen Fd Cover Sheets'!J183</f>
        <v>3018795</v>
      </c>
      <c r="K30" s="2">
        <f>'Gen Fd Cover Sheets'!K183</f>
        <v>3090103</v>
      </c>
    </row>
    <row r="31" spans="1:15" ht="20.100000000000001" customHeight="1" thickBot="1">
      <c r="A31" s="1"/>
      <c r="B31" s="153" t="s">
        <v>851</v>
      </c>
      <c r="C31" s="150">
        <f t="shared" ref="C31:J31" si="2">SUM(C25:C30)</f>
        <v>10361617</v>
      </c>
      <c r="D31" s="150">
        <f t="shared" si="2"/>
        <v>13808392</v>
      </c>
      <c r="E31" s="150">
        <f t="shared" si="2"/>
        <v>13570112</v>
      </c>
      <c r="F31" s="150">
        <f t="shared" si="2"/>
        <v>13677043</v>
      </c>
      <c r="G31" s="150">
        <f t="shared" si="2"/>
        <v>14190635</v>
      </c>
      <c r="H31" s="150">
        <f t="shared" si="2"/>
        <v>14832629</v>
      </c>
      <c r="I31" s="150">
        <f t="shared" si="2"/>
        <v>15374024</v>
      </c>
      <c r="J31" s="150">
        <f t="shared" si="2"/>
        <v>15887773</v>
      </c>
      <c r="K31" s="150">
        <f>SUM(K25:K30)</f>
        <v>16408034</v>
      </c>
    </row>
    <row r="32" spans="1:15" s="569" customFormat="1" hidden="1">
      <c r="A32" s="179"/>
      <c r="B32" s="155"/>
      <c r="C32" s="132">
        <f>'Budget Detail FY 2013-20'!L276</f>
        <v>10361617</v>
      </c>
      <c r="D32" s="132">
        <f>'Budget Detail FY 2013-20'!M276</f>
        <v>13808392</v>
      </c>
      <c r="E32" s="132">
        <f>'Budget Detail FY 2013-20'!N276</f>
        <v>13570112</v>
      </c>
      <c r="F32" s="132">
        <f>'Budget Detail FY 2013-20'!O276</f>
        <v>13677043</v>
      </c>
      <c r="G32" s="132">
        <f>'Budget Detail FY 2013-20'!P276</f>
        <v>14190635</v>
      </c>
      <c r="H32" s="132">
        <f>'Budget Detail FY 2013-20'!Q276</f>
        <v>14832629</v>
      </c>
      <c r="I32" s="132">
        <f>'Budget Detail FY 2013-20'!R276</f>
        <v>15374024</v>
      </c>
      <c r="J32" s="132">
        <f>'Budget Detail FY 2013-20'!S276</f>
        <v>15887773</v>
      </c>
      <c r="K32" s="132">
        <f>'Budget Detail FY 2013-20'!T276</f>
        <v>16408034</v>
      </c>
      <c r="L32" s="571" t="s">
        <v>1150</v>
      </c>
    </row>
    <row r="33" spans="1:12" s="570" customFormat="1" hidden="1">
      <c r="A33" s="180"/>
      <c r="B33" s="157"/>
      <c r="C33" s="133">
        <f>C31-C32</f>
        <v>0</v>
      </c>
      <c r="D33" s="133">
        <f t="shared" ref="D33:K33" si="3">D31-D32</f>
        <v>0</v>
      </c>
      <c r="E33" s="133">
        <f t="shared" si="3"/>
        <v>0</v>
      </c>
      <c r="F33" s="133">
        <f t="shared" si="3"/>
        <v>0</v>
      </c>
      <c r="G33" s="133">
        <f t="shared" si="3"/>
        <v>0</v>
      </c>
      <c r="H33" s="133">
        <f t="shared" si="3"/>
        <v>0</v>
      </c>
      <c r="I33" s="133">
        <f t="shared" si="3"/>
        <v>0</v>
      </c>
      <c r="J33" s="133">
        <f t="shared" si="3"/>
        <v>0</v>
      </c>
      <c r="K33" s="133">
        <f t="shared" si="3"/>
        <v>0</v>
      </c>
      <c r="L33" s="571" t="s">
        <v>1151</v>
      </c>
    </row>
    <row r="34" spans="1:12" ht="7.5" customHeight="1">
      <c r="A34" s="1"/>
      <c r="B34" s="160"/>
      <c r="C34" s="3"/>
      <c r="D34" s="2"/>
      <c r="E34" s="2"/>
      <c r="F34" s="2"/>
      <c r="G34" s="2"/>
      <c r="H34" s="2"/>
      <c r="I34" s="2"/>
      <c r="J34" s="2"/>
      <c r="K34" s="2"/>
    </row>
    <row r="35" spans="1:12" ht="20.100000000000001" customHeight="1">
      <c r="A35" s="1"/>
      <c r="B35" s="510" t="s">
        <v>852</v>
      </c>
      <c r="C35" s="3">
        <f t="shared" ref="C35:K35" si="4">+C20-C31</f>
        <v>2953193</v>
      </c>
      <c r="D35" s="3">
        <f t="shared" si="4"/>
        <v>-363247</v>
      </c>
      <c r="E35" s="3">
        <f t="shared" si="4"/>
        <v>156513</v>
      </c>
      <c r="F35" s="3">
        <f t="shared" si="4"/>
        <v>240024</v>
      </c>
      <c r="G35" s="3">
        <f t="shared" si="4"/>
        <v>10002</v>
      </c>
      <c r="H35" s="3">
        <f t="shared" si="4"/>
        <v>-521902</v>
      </c>
      <c r="I35" s="3">
        <f t="shared" si="4"/>
        <v>-904844</v>
      </c>
      <c r="J35" s="3">
        <f t="shared" si="4"/>
        <v>-1255986</v>
      </c>
      <c r="K35" s="3">
        <f t="shared" si="4"/>
        <v>-1659171</v>
      </c>
    </row>
    <row r="36" spans="1:12" s="569" customFormat="1" hidden="1">
      <c r="A36" s="179"/>
      <c r="B36" s="161"/>
      <c r="C36" s="132">
        <f>'Budget Detail FY 2013-20'!L278</f>
        <v>2953193</v>
      </c>
      <c r="D36" s="132">
        <f>'Budget Detail FY 2013-20'!M278</f>
        <v>-363247</v>
      </c>
      <c r="E36" s="132">
        <f>'Budget Detail FY 2013-20'!N278</f>
        <v>156513</v>
      </c>
      <c r="F36" s="132">
        <f>'Budget Detail FY 2013-20'!O278</f>
        <v>240024</v>
      </c>
      <c r="G36" s="132">
        <f>'Budget Detail FY 2013-20'!P278</f>
        <v>10002</v>
      </c>
      <c r="H36" s="132">
        <f>'Budget Detail FY 2013-20'!Q278</f>
        <v>-521902</v>
      </c>
      <c r="I36" s="132">
        <f>'Budget Detail FY 2013-20'!R278</f>
        <v>-904844</v>
      </c>
      <c r="J36" s="132">
        <f>'Budget Detail FY 2013-20'!S278</f>
        <v>-1255986</v>
      </c>
      <c r="K36" s="132">
        <f>'Budget Detail FY 2013-20'!T278</f>
        <v>-1659171</v>
      </c>
      <c r="L36" s="571" t="s">
        <v>1150</v>
      </c>
    </row>
    <row r="37" spans="1:12" s="570" customFormat="1" hidden="1">
      <c r="A37" s="180"/>
      <c r="B37" s="162"/>
      <c r="C37" s="163">
        <f>C35-C36</f>
        <v>0</v>
      </c>
      <c r="D37" s="163">
        <f t="shared" ref="D37:K37" si="5">D35-D36</f>
        <v>0</v>
      </c>
      <c r="E37" s="163">
        <f t="shared" si="5"/>
        <v>0</v>
      </c>
      <c r="F37" s="163">
        <f t="shared" si="5"/>
        <v>0</v>
      </c>
      <c r="G37" s="163">
        <f t="shared" si="5"/>
        <v>0</v>
      </c>
      <c r="H37" s="163">
        <f t="shared" si="5"/>
        <v>0</v>
      </c>
      <c r="I37" s="163">
        <f t="shared" si="5"/>
        <v>0</v>
      </c>
      <c r="J37" s="163">
        <f t="shared" si="5"/>
        <v>0</v>
      </c>
      <c r="K37" s="163">
        <f t="shared" si="5"/>
        <v>0</v>
      </c>
      <c r="L37" s="571" t="s">
        <v>1151</v>
      </c>
    </row>
    <row r="38" spans="1:12" ht="7.5" customHeight="1">
      <c r="A38" s="1"/>
      <c r="B38" s="164"/>
      <c r="C38" s="3"/>
      <c r="D38" s="2"/>
      <c r="E38" s="2"/>
      <c r="F38" s="2"/>
      <c r="G38" s="2"/>
      <c r="H38" s="2"/>
      <c r="I38" s="2"/>
      <c r="J38" s="2"/>
      <c r="K38" s="2"/>
    </row>
    <row r="39" spans="1:12" ht="20.100000000000001" customHeight="1" thickBot="1">
      <c r="A39" s="1"/>
      <c r="B39" s="152" t="s">
        <v>853</v>
      </c>
      <c r="C39" s="83">
        <v>4223820</v>
      </c>
      <c r="D39" s="83">
        <v>3860581</v>
      </c>
      <c r="E39" s="83">
        <v>3874053</v>
      </c>
      <c r="F39" s="83">
        <f>D39+F35</f>
        <v>4100605</v>
      </c>
      <c r="G39" s="83">
        <f>F39+G35</f>
        <v>4110607</v>
      </c>
      <c r="H39" s="83">
        <f>G39+H35</f>
        <v>3588705</v>
      </c>
      <c r="I39" s="83">
        <f>H39+I35</f>
        <v>2683861</v>
      </c>
      <c r="J39" s="83">
        <f>I39+J35</f>
        <v>1427875</v>
      </c>
      <c r="K39" s="83">
        <f>J39+K35</f>
        <v>-231296</v>
      </c>
    </row>
    <row r="40" spans="1:12" s="569" customFormat="1" ht="15.75" hidden="1" thickTop="1">
      <c r="A40" s="179"/>
      <c r="B40" s="155"/>
      <c r="C40" s="132">
        <f>'Budget Detail FY 2013-20'!L280</f>
        <v>4223820</v>
      </c>
      <c r="D40" s="132">
        <f>'Budget Detail FY 2013-20'!M280</f>
        <v>3860581</v>
      </c>
      <c r="E40" s="132">
        <f>'Budget Detail FY 2013-20'!N280</f>
        <v>3874053</v>
      </c>
      <c r="F40" s="132">
        <f>'Budget Detail FY 2013-20'!O280</f>
        <v>4100605</v>
      </c>
      <c r="G40" s="132">
        <f>'Budget Detail FY 2013-20'!P280</f>
        <v>4110607</v>
      </c>
      <c r="H40" s="132">
        <f>'Budget Detail FY 2013-20'!Q280</f>
        <v>3588705</v>
      </c>
      <c r="I40" s="132">
        <f>'Budget Detail FY 2013-20'!R280</f>
        <v>2683861</v>
      </c>
      <c r="J40" s="132">
        <f>'Budget Detail FY 2013-20'!S280</f>
        <v>1427875</v>
      </c>
      <c r="K40" s="132">
        <f>'Budget Detail FY 2013-20'!T280</f>
        <v>-231296</v>
      </c>
      <c r="L40" s="571" t="s">
        <v>1150</v>
      </c>
    </row>
    <row r="41" spans="1:12" s="570" customFormat="1" hidden="1">
      <c r="A41" s="180"/>
      <c r="B41" s="157"/>
      <c r="C41" s="163">
        <f>C39-C40</f>
        <v>0</v>
      </c>
      <c r="D41" s="163">
        <f t="shared" ref="D41:K41" si="6">D39-D40</f>
        <v>0</v>
      </c>
      <c r="E41" s="163">
        <f t="shared" si="6"/>
        <v>0</v>
      </c>
      <c r="F41" s="163">
        <f t="shared" si="6"/>
        <v>0</v>
      </c>
      <c r="G41" s="163">
        <f t="shared" si="6"/>
        <v>0</v>
      </c>
      <c r="H41" s="163">
        <f t="shared" si="6"/>
        <v>0</v>
      </c>
      <c r="I41" s="163">
        <f t="shared" si="6"/>
        <v>0</v>
      </c>
      <c r="J41" s="163">
        <f t="shared" si="6"/>
        <v>0</v>
      </c>
      <c r="K41" s="163">
        <f t="shared" si="6"/>
        <v>0</v>
      </c>
      <c r="L41" s="571" t="s">
        <v>1151</v>
      </c>
    </row>
    <row r="42" spans="1:12" ht="15.75" thickTop="1">
      <c r="A42" s="1"/>
      <c r="B42" s="165"/>
      <c r="C42" s="166">
        <f t="shared" ref="C42:K42" si="7">+C39/C31</f>
        <v>0.40764100815538734</v>
      </c>
      <c r="D42" s="166">
        <f t="shared" si="7"/>
        <v>0.27958222796687693</v>
      </c>
      <c r="E42" s="166">
        <f t="shared" si="7"/>
        <v>0.28548423181768878</v>
      </c>
      <c r="F42" s="166">
        <f t="shared" si="7"/>
        <v>0.29981663434120959</v>
      </c>
      <c r="G42" s="166">
        <f t="shared" si="7"/>
        <v>0.28967040586978665</v>
      </c>
      <c r="H42" s="166">
        <f t="shared" si="7"/>
        <v>0.24194665692777725</v>
      </c>
      <c r="I42" s="166">
        <f t="shared" si="7"/>
        <v>0.17457114676027563</v>
      </c>
      <c r="J42" s="166">
        <f t="shared" si="7"/>
        <v>8.9872570561021992E-2</v>
      </c>
      <c r="K42" s="166">
        <f t="shared" si="7"/>
        <v>-1.4096509063791555E-2</v>
      </c>
    </row>
    <row r="43" spans="1:12" ht="8.1" customHeight="1">
      <c r="A43" s="1"/>
      <c r="B43" s="165"/>
      <c r="C43" s="172"/>
      <c r="D43" s="172"/>
      <c r="E43" s="172"/>
      <c r="F43" s="172"/>
      <c r="G43" s="172"/>
      <c r="H43" s="172"/>
      <c r="I43" s="172"/>
      <c r="J43" s="172"/>
      <c r="K43" s="172"/>
    </row>
    <row r="44" spans="1:12">
      <c r="A44" s="1"/>
      <c r="B44" s="1"/>
      <c r="C44" s="2"/>
      <c r="D44" s="2"/>
      <c r="E44" s="2"/>
      <c r="F44" s="2"/>
      <c r="G44" s="2"/>
      <c r="H44" s="2"/>
      <c r="I44" s="2"/>
      <c r="J44" s="2"/>
      <c r="K44" s="2"/>
    </row>
    <row r="45" spans="1:12">
      <c r="A45" s="1"/>
      <c r="B45" s="1"/>
      <c r="C45" s="2"/>
      <c r="D45" s="2"/>
      <c r="E45" s="2"/>
      <c r="F45" s="2"/>
      <c r="G45" s="2"/>
      <c r="H45" s="2"/>
      <c r="I45" s="2"/>
      <c r="J45" s="2"/>
      <c r="K45" s="2"/>
    </row>
    <row r="46" spans="1:12">
      <c r="A46" s="1"/>
      <c r="B46" s="1"/>
      <c r="C46" s="2"/>
      <c r="D46" s="2"/>
      <c r="E46" s="2"/>
      <c r="F46" s="2"/>
      <c r="G46" s="2"/>
      <c r="H46" s="2"/>
      <c r="I46" s="2"/>
      <c r="J46" s="2"/>
      <c r="K46" s="2"/>
    </row>
    <row r="47" spans="1:12">
      <c r="A47" s="1"/>
      <c r="B47" s="1"/>
      <c r="C47" s="2"/>
      <c r="D47" s="2"/>
      <c r="E47" s="2"/>
      <c r="F47" s="2"/>
      <c r="G47" s="2"/>
      <c r="H47" s="2"/>
      <c r="I47" s="2"/>
      <c r="J47" s="2"/>
      <c r="K47" s="2"/>
    </row>
    <row r="48" spans="1:12">
      <c r="A48" s="1"/>
      <c r="B48" s="1"/>
      <c r="C48" s="2"/>
      <c r="D48" s="2"/>
      <c r="E48" s="2"/>
      <c r="F48" s="2"/>
      <c r="G48" s="2"/>
      <c r="H48" s="2"/>
      <c r="I48" s="2"/>
      <c r="J48" s="2"/>
      <c r="K48" s="2"/>
    </row>
    <row r="49" spans="1:11">
      <c r="A49" s="1"/>
      <c r="B49" s="1"/>
      <c r="C49" s="2"/>
      <c r="D49" s="2"/>
      <c r="E49" s="2"/>
      <c r="F49" s="2"/>
      <c r="G49" s="2"/>
      <c r="H49" s="2"/>
      <c r="I49" s="2"/>
      <c r="J49" s="2"/>
      <c r="K49" s="2"/>
    </row>
    <row r="50" spans="1:11">
      <c r="A50" s="1"/>
      <c r="B50" s="1"/>
      <c r="C50" s="2"/>
      <c r="D50" s="2"/>
      <c r="E50" s="2"/>
      <c r="F50" s="2"/>
      <c r="G50" s="2"/>
      <c r="H50" s="2"/>
      <c r="I50" s="2"/>
      <c r="J50" s="2"/>
      <c r="K50" s="2"/>
    </row>
    <row r="51" spans="1:11">
      <c r="A51" s="1"/>
      <c r="B51" s="1"/>
      <c r="C51" s="2"/>
      <c r="D51" s="2"/>
      <c r="E51" s="2"/>
      <c r="F51" s="2"/>
      <c r="G51" s="2"/>
      <c r="H51" s="2"/>
      <c r="I51" s="2"/>
      <c r="J51" s="2"/>
      <c r="K51" s="2"/>
    </row>
    <row r="52" spans="1:11">
      <c r="A52" s="1"/>
      <c r="B52" s="1"/>
      <c r="C52" s="2"/>
      <c r="D52" s="2"/>
      <c r="E52" s="2"/>
      <c r="F52" s="2"/>
      <c r="G52" s="2"/>
      <c r="H52" s="2"/>
      <c r="I52" s="2"/>
      <c r="J52" s="2"/>
      <c r="K52" s="2"/>
    </row>
    <row r="53" spans="1:11">
      <c r="A53" s="1"/>
      <c r="B53" s="1"/>
      <c r="C53" s="2"/>
      <c r="D53" s="2"/>
      <c r="E53" s="2"/>
      <c r="F53" s="2"/>
      <c r="G53" s="2"/>
      <c r="H53" s="2"/>
      <c r="I53" s="2"/>
      <c r="J53" s="2"/>
      <c r="K53" s="2"/>
    </row>
    <row r="56" spans="1:11">
      <c r="B56" s="740" t="s">
        <v>854</v>
      </c>
      <c r="C56" s="740"/>
      <c r="D56" s="740"/>
      <c r="E56" s="740"/>
      <c r="F56" s="740"/>
      <c r="G56" s="740"/>
      <c r="H56" s="740"/>
      <c r="I56" s="740"/>
      <c r="J56" s="740"/>
      <c r="K56" s="740"/>
    </row>
    <row r="57" spans="1:11">
      <c r="B57" s="65"/>
      <c r="C57" s="3"/>
      <c r="D57" s="2"/>
      <c r="E57" s="2"/>
      <c r="F57" s="2"/>
      <c r="G57" s="2"/>
      <c r="H57" s="2"/>
      <c r="I57" s="2"/>
      <c r="J57" s="2"/>
      <c r="K57" s="2"/>
    </row>
    <row r="58" spans="1:11" ht="12.75" customHeight="1">
      <c r="B58" s="731" t="s">
        <v>855</v>
      </c>
      <c r="C58" s="731"/>
      <c r="D58" s="731"/>
      <c r="E58" s="731"/>
      <c r="F58" s="731"/>
      <c r="G58" s="731"/>
      <c r="H58" s="731"/>
      <c r="I58" s="731"/>
      <c r="J58" s="731"/>
      <c r="K58" s="731"/>
    </row>
    <row r="59" spans="1:11" ht="17.25" customHeight="1">
      <c r="B59" s="731"/>
      <c r="C59" s="731"/>
      <c r="D59" s="731"/>
      <c r="E59" s="731"/>
      <c r="F59" s="731"/>
      <c r="G59" s="731"/>
      <c r="H59" s="731"/>
      <c r="I59" s="731"/>
      <c r="J59" s="731"/>
      <c r="K59" s="731"/>
    </row>
    <row r="60" spans="1:11" ht="17.25" customHeight="1">
      <c r="B60" s="563"/>
      <c r="C60" s="563"/>
      <c r="D60" s="563"/>
      <c r="E60" s="563"/>
      <c r="F60" s="563"/>
      <c r="G60" s="563"/>
      <c r="H60" s="563"/>
      <c r="I60" s="563"/>
      <c r="J60" s="563"/>
      <c r="K60" s="567"/>
    </row>
    <row r="61" spans="1:11">
      <c r="B61" s="5"/>
      <c r="C61" s="65"/>
      <c r="D61" s="66"/>
      <c r="E61" s="65" t="s">
        <v>270</v>
      </c>
      <c r="F61" s="1"/>
      <c r="G61" s="1"/>
      <c r="H61" s="1"/>
      <c r="I61" s="1"/>
      <c r="J61" s="1"/>
      <c r="K61" s="1"/>
    </row>
    <row r="62" spans="1:11">
      <c r="B62" s="66"/>
      <c r="C62" s="65" t="s">
        <v>257</v>
      </c>
      <c r="D62" s="49" t="s">
        <v>258</v>
      </c>
      <c r="E62" s="66" t="s">
        <v>832</v>
      </c>
      <c r="F62" s="66" t="s">
        <v>270</v>
      </c>
      <c r="G62" s="66" t="s">
        <v>271</v>
      </c>
      <c r="H62" s="66" t="s">
        <v>272</v>
      </c>
      <c r="I62" s="66" t="s">
        <v>996</v>
      </c>
      <c r="J62" s="66" t="s">
        <v>1101</v>
      </c>
      <c r="K62" s="66" t="s">
        <v>1136</v>
      </c>
    </row>
    <row r="63" spans="1:11" ht="15.75" thickBot="1">
      <c r="B63" s="169"/>
      <c r="C63" s="68" t="s">
        <v>1</v>
      </c>
      <c r="D63" s="68" t="s">
        <v>1</v>
      </c>
      <c r="E63" s="68" t="s">
        <v>787</v>
      </c>
      <c r="F63" s="68" t="s">
        <v>19</v>
      </c>
      <c r="G63" s="68" t="s">
        <v>832</v>
      </c>
      <c r="H63" s="68" t="s">
        <v>19</v>
      </c>
      <c r="I63" s="68" t="s">
        <v>19</v>
      </c>
      <c r="J63" s="68" t="s">
        <v>19</v>
      </c>
      <c r="K63" s="68" t="s">
        <v>19</v>
      </c>
    </row>
    <row r="64" spans="1:11">
      <c r="B64" s="64"/>
      <c r="C64" s="170"/>
      <c r="D64" s="2"/>
      <c r="E64" s="2"/>
      <c r="F64" s="2"/>
      <c r="G64" s="2"/>
      <c r="H64" s="2"/>
      <c r="I64" s="2"/>
      <c r="J64" s="2"/>
      <c r="K64" s="2"/>
    </row>
    <row r="65" spans="2:12">
      <c r="B65" s="158" t="s">
        <v>833</v>
      </c>
      <c r="C65" s="2"/>
      <c r="D65" s="2"/>
      <c r="E65" s="2"/>
      <c r="F65" s="2"/>
      <c r="G65" s="2"/>
      <c r="H65" s="2"/>
      <c r="I65" s="2"/>
      <c r="J65" s="2"/>
      <c r="K65" s="2"/>
    </row>
    <row r="66" spans="2:12" ht="20.100000000000001" customHeight="1">
      <c r="B66" s="506" t="s">
        <v>834</v>
      </c>
      <c r="C66" s="2">
        <f>'Budget Detail FY 2013-20'!L286</f>
        <v>3786</v>
      </c>
      <c r="D66" s="2">
        <f>'Budget Detail FY 2013-20'!M286</f>
        <v>3786</v>
      </c>
      <c r="E66" s="2">
        <f>'Budget Detail FY 2013-20'!N286</f>
        <v>8536</v>
      </c>
      <c r="F66" s="2">
        <f>'Budget Detail FY 2013-20'!O286</f>
        <v>8536</v>
      </c>
      <c r="G66" s="2">
        <f>'Budget Detail FY 2013-20'!P286</f>
        <v>7073</v>
      </c>
      <c r="H66" s="2">
        <f>'Budget Detail FY 2013-20'!Q286</f>
        <v>7073</v>
      </c>
      <c r="I66" s="2">
        <f>'Budget Detail FY 2013-20'!R286</f>
        <v>7073</v>
      </c>
      <c r="J66" s="2">
        <f>'Budget Detail FY 2013-20'!S286</f>
        <v>7073</v>
      </c>
      <c r="K66" s="2">
        <f>'Budget Detail FY 2013-20'!T286</f>
        <v>7073</v>
      </c>
    </row>
    <row r="67" spans="2:12" ht="20.100000000000001" customHeight="1">
      <c r="B67" s="506" t="s">
        <v>839</v>
      </c>
      <c r="C67" s="2">
        <f>'Budget Detail FY 2013-20'!L287</f>
        <v>10</v>
      </c>
      <c r="D67" s="2">
        <f>'Budget Detail FY 2013-20'!M287</f>
        <v>1</v>
      </c>
      <c r="E67" s="2">
        <f>'Budget Detail FY 2013-20'!N287</f>
        <v>0</v>
      </c>
      <c r="F67" s="2">
        <f>'Budget Detail FY 2013-20'!O287</f>
        <v>0</v>
      </c>
      <c r="G67" s="2">
        <f>'Budget Detail FY 2013-20'!P287</f>
        <v>0</v>
      </c>
      <c r="H67" s="2">
        <f>'Budget Detail FY 2013-20'!Q287</f>
        <v>0</v>
      </c>
      <c r="I67" s="2">
        <f>'Budget Detail FY 2013-20'!R287</f>
        <v>0</v>
      </c>
      <c r="J67" s="2">
        <f>'Budget Detail FY 2013-20'!S287</f>
        <v>0</v>
      </c>
      <c r="K67" s="2">
        <f>'Budget Detail FY 2013-20'!T287</f>
        <v>0</v>
      </c>
    </row>
    <row r="68" spans="2:12" ht="20.100000000000001" customHeight="1" thickBot="1">
      <c r="B68" s="153" t="s">
        <v>843</v>
      </c>
      <c r="C68" s="150">
        <f t="shared" ref="C68:J68" si="8">SUM(C66:C67)</f>
        <v>3796</v>
      </c>
      <c r="D68" s="150">
        <f t="shared" si="8"/>
        <v>3787</v>
      </c>
      <c r="E68" s="150">
        <f t="shared" si="8"/>
        <v>8536</v>
      </c>
      <c r="F68" s="150">
        <f t="shared" si="8"/>
        <v>8536</v>
      </c>
      <c r="G68" s="150">
        <f t="shared" si="8"/>
        <v>7073</v>
      </c>
      <c r="H68" s="150">
        <f t="shared" si="8"/>
        <v>7073</v>
      </c>
      <c r="I68" s="150">
        <f t="shared" si="8"/>
        <v>7073</v>
      </c>
      <c r="J68" s="150">
        <f t="shared" si="8"/>
        <v>7073</v>
      </c>
      <c r="K68" s="150">
        <f>SUM(K66:K67)</f>
        <v>7073</v>
      </c>
    </row>
    <row r="69" spans="2:12" s="569" customFormat="1" hidden="1">
      <c r="B69" s="155"/>
      <c r="C69" s="132">
        <f>'Budget Detail FY 2013-20'!L289</f>
        <v>3796</v>
      </c>
      <c r="D69" s="132">
        <f>'Budget Detail FY 2013-20'!M289</f>
        <v>3787</v>
      </c>
      <c r="E69" s="132">
        <f>'Budget Detail FY 2013-20'!N289</f>
        <v>8536</v>
      </c>
      <c r="F69" s="132">
        <f>'Budget Detail FY 2013-20'!O289</f>
        <v>8536</v>
      </c>
      <c r="G69" s="132">
        <f>'Budget Detail FY 2013-20'!P289</f>
        <v>7073</v>
      </c>
      <c r="H69" s="132">
        <f>'Budget Detail FY 2013-20'!Q289</f>
        <v>7073</v>
      </c>
      <c r="I69" s="132">
        <f>'Budget Detail FY 2013-20'!R289</f>
        <v>7073</v>
      </c>
      <c r="J69" s="132">
        <f>'Budget Detail FY 2013-20'!S289</f>
        <v>7073</v>
      </c>
      <c r="K69" s="132">
        <f>'Budget Detail FY 2013-20'!T289</f>
        <v>7073</v>
      </c>
      <c r="L69" s="571" t="s">
        <v>1150</v>
      </c>
    </row>
    <row r="70" spans="2:12" s="570" customFormat="1" hidden="1">
      <c r="B70" s="157"/>
      <c r="C70" s="133">
        <f>C68-C69</f>
        <v>0</v>
      </c>
      <c r="D70" s="133">
        <f t="shared" ref="D70:K70" si="9">D68-D69</f>
        <v>0</v>
      </c>
      <c r="E70" s="133">
        <f t="shared" si="9"/>
        <v>0</v>
      </c>
      <c r="F70" s="133">
        <f t="shared" si="9"/>
        <v>0</v>
      </c>
      <c r="G70" s="133">
        <f t="shared" si="9"/>
        <v>0</v>
      </c>
      <c r="H70" s="133">
        <f t="shared" si="9"/>
        <v>0</v>
      </c>
      <c r="I70" s="133">
        <f t="shared" si="9"/>
        <v>0</v>
      </c>
      <c r="J70" s="133">
        <f t="shared" si="9"/>
        <v>0</v>
      </c>
      <c r="K70" s="133">
        <f t="shared" si="9"/>
        <v>0</v>
      </c>
      <c r="L70" s="571" t="s">
        <v>1151</v>
      </c>
    </row>
    <row r="71" spans="2:12">
      <c r="B71" s="1"/>
      <c r="C71" s="2"/>
      <c r="D71" s="2"/>
      <c r="E71" s="2"/>
      <c r="F71" s="2"/>
      <c r="G71" s="2"/>
      <c r="H71" s="2"/>
      <c r="I71" s="2"/>
      <c r="J71" s="2"/>
      <c r="K71" s="2"/>
    </row>
    <row r="72" spans="2:12">
      <c r="B72" s="158" t="s">
        <v>598</v>
      </c>
      <c r="C72" s="2"/>
      <c r="D72" s="2"/>
      <c r="E72" s="2"/>
      <c r="F72" s="2"/>
      <c r="G72" s="2"/>
      <c r="H72" s="2"/>
      <c r="I72" s="2"/>
      <c r="J72" s="2"/>
      <c r="K72" s="2"/>
    </row>
    <row r="73" spans="2:12" ht="20.100000000000001" customHeight="1">
      <c r="B73" s="508" t="s">
        <v>846</v>
      </c>
      <c r="C73" s="2">
        <f>SUM('Budget Detail FY 2013-20'!L291:L293)</f>
        <v>5743</v>
      </c>
      <c r="D73" s="2">
        <f>SUM('Budget Detail FY 2013-20'!M291:M293)</f>
        <v>7776</v>
      </c>
      <c r="E73" s="2">
        <f>SUM('Budget Detail FY 2013-20'!N291:N293)</f>
        <v>19603</v>
      </c>
      <c r="F73" s="2">
        <f>SUM('Budget Detail FY 2013-20'!O291:O293)</f>
        <v>4603</v>
      </c>
      <c r="G73" s="2">
        <f>SUM('Budget Detail FY 2013-20'!P291:P293)</f>
        <v>29833</v>
      </c>
      <c r="H73" s="2">
        <f>SUM('Budget Detail FY 2013-20'!Q291:Q293)</f>
        <v>5075</v>
      </c>
      <c r="I73" s="2">
        <f>SUM('Budget Detail FY 2013-20'!R291:R293)</f>
        <v>5329</v>
      </c>
      <c r="J73" s="2">
        <f>SUM('Budget Detail FY 2013-20'!S291:S293)</f>
        <v>5595</v>
      </c>
      <c r="K73" s="2">
        <f>SUM('Budget Detail FY 2013-20'!T291:T293)</f>
        <v>5875</v>
      </c>
    </row>
    <row r="74" spans="2:12" ht="20.100000000000001" customHeight="1" thickBot="1">
      <c r="B74" s="153" t="s">
        <v>851</v>
      </c>
      <c r="C74" s="150">
        <f t="shared" ref="C74:J74" si="10">SUM(C73:C73)</f>
        <v>5743</v>
      </c>
      <c r="D74" s="150">
        <f t="shared" si="10"/>
        <v>7776</v>
      </c>
      <c r="E74" s="150">
        <f t="shared" si="10"/>
        <v>19603</v>
      </c>
      <c r="F74" s="150">
        <f t="shared" si="10"/>
        <v>4603</v>
      </c>
      <c r="G74" s="150">
        <f t="shared" si="10"/>
        <v>29833</v>
      </c>
      <c r="H74" s="150">
        <f t="shared" si="10"/>
        <v>5075</v>
      </c>
      <c r="I74" s="150">
        <f t="shared" si="10"/>
        <v>5329</v>
      </c>
      <c r="J74" s="150">
        <f t="shared" si="10"/>
        <v>5595</v>
      </c>
      <c r="K74" s="150">
        <f>SUM(K73:K73)</f>
        <v>5875</v>
      </c>
    </row>
    <row r="75" spans="2:12" s="569" customFormat="1" hidden="1">
      <c r="B75" s="155"/>
      <c r="C75" s="132">
        <f>'Budget Detail FY 2013-20'!L295</f>
        <v>5743</v>
      </c>
      <c r="D75" s="132">
        <f>'Budget Detail FY 2013-20'!M295</f>
        <v>7776</v>
      </c>
      <c r="E75" s="132">
        <f>'Budget Detail FY 2013-20'!N295</f>
        <v>19603</v>
      </c>
      <c r="F75" s="132">
        <f>'Budget Detail FY 2013-20'!O295</f>
        <v>4603</v>
      </c>
      <c r="G75" s="132">
        <f>'Budget Detail FY 2013-20'!P295</f>
        <v>29833</v>
      </c>
      <c r="H75" s="132">
        <f>'Budget Detail FY 2013-20'!Q295</f>
        <v>5075</v>
      </c>
      <c r="I75" s="132">
        <f>'Budget Detail FY 2013-20'!R295</f>
        <v>5329</v>
      </c>
      <c r="J75" s="132">
        <f>'Budget Detail FY 2013-20'!S295</f>
        <v>5595</v>
      </c>
      <c r="K75" s="132">
        <f>'Budget Detail FY 2013-20'!T295</f>
        <v>5875</v>
      </c>
      <c r="L75" s="571" t="s">
        <v>1150</v>
      </c>
    </row>
    <row r="76" spans="2:12" s="570" customFormat="1" hidden="1">
      <c r="B76" s="157"/>
      <c r="C76" s="133">
        <f>C74-C75</f>
        <v>0</v>
      </c>
      <c r="D76" s="133">
        <f t="shared" ref="D76:K76" si="11">D74-D75</f>
        <v>0</v>
      </c>
      <c r="E76" s="133">
        <f t="shared" si="11"/>
        <v>0</v>
      </c>
      <c r="F76" s="133">
        <f t="shared" si="11"/>
        <v>0</v>
      </c>
      <c r="G76" s="133">
        <f t="shared" si="11"/>
        <v>0</v>
      </c>
      <c r="H76" s="133">
        <f t="shared" si="11"/>
        <v>0</v>
      </c>
      <c r="I76" s="133">
        <f t="shared" si="11"/>
        <v>0</v>
      </c>
      <c r="J76" s="133">
        <f t="shared" si="11"/>
        <v>0</v>
      </c>
      <c r="K76" s="133">
        <f t="shared" si="11"/>
        <v>0</v>
      </c>
      <c r="L76" s="571" t="s">
        <v>1151</v>
      </c>
    </row>
    <row r="77" spans="2:12">
      <c r="B77" s="160"/>
      <c r="C77" s="3"/>
      <c r="D77" s="2"/>
      <c r="E77" s="2"/>
      <c r="F77" s="2"/>
      <c r="G77" s="2"/>
      <c r="H77" s="2"/>
      <c r="I77" s="2"/>
      <c r="J77" s="2"/>
      <c r="K77" s="2"/>
    </row>
    <row r="78" spans="2:12" ht="20.100000000000001" customHeight="1">
      <c r="B78" s="510" t="s">
        <v>852</v>
      </c>
      <c r="C78" s="3">
        <f t="shared" ref="C78:J78" si="12">+C68-C74</f>
        <v>-1947</v>
      </c>
      <c r="D78" s="3">
        <f t="shared" si="12"/>
        <v>-3989</v>
      </c>
      <c r="E78" s="3">
        <f t="shared" si="12"/>
        <v>-11067</v>
      </c>
      <c r="F78" s="3">
        <f t="shared" si="12"/>
        <v>3933</v>
      </c>
      <c r="G78" s="3">
        <f t="shared" si="12"/>
        <v>-22760</v>
      </c>
      <c r="H78" s="3">
        <f t="shared" si="12"/>
        <v>1998</v>
      </c>
      <c r="I78" s="3">
        <f t="shared" si="12"/>
        <v>1744</v>
      </c>
      <c r="J78" s="3">
        <f t="shared" si="12"/>
        <v>1478</v>
      </c>
      <c r="K78" s="3">
        <f>+K68-K74</f>
        <v>1198</v>
      </c>
    </row>
    <row r="79" spans="2:12" s="569" customFormat="1" hidden="1">
      <c r="B79" s="161"/>
      <c r="C79" s="132">
        <f>'Budget Detail FY 2013-20'!L297</f>
        <v>-1947</v>
      </c>
      <c r="D79" s="132">
        <f>'Budget Detail FY 2013-20'!M297</f>
        <v>-3989</v>
      </c>
      <c r="E79" s="132">
        <f>'Budget Detail FY 2013-20'!N297</f>
        <v>-11067</v>
      </c>
      <c r="F79" s="132">
        <f>'Budget Detail FY 2013-20'!O297</f>
        <v>3933</v>
      </c>
      <c r="G79" s="132">
        <f>'Budget Detail FY 2013-20'!P297</f>
        <v>-22760</v>
      </c>
      <c r="H79" s="132">
        <f>'Budget Detail FY 2013-20'!Q297</f>
        <v>1998</v>
      </c>
      <c r="I79" s="132">
        <f>'Budget Detail FY 2013-20'!R297</f>
        <v>1744</v>
      </c>
      <c r="J79" s="132">
        <f>'Budget Detail FY 2013-20'!S297</f>
        <v>1478</v>
      </c>
      <c r="K79" s="132">
        <f>'Budget Detail FY 2013-20'!T297</f>
        <v>1198</v>
      </c>
      <c r="L79" s="571" t="s">
        <v>1150</v>
      </c>
    </row>
    <row r="80" spans="2:12" s="570" customFormat="1" hidden="1">
      <c r="B80" s="162"/>
      <c r="C80" s="163">
        <f>C78-C79</f>
        <v>0</v>
      </c>
      <c r="D80" s="163">
        <f t="shared" ref="D80:K80" si="13">D78-D79</f>
        <v>0</v>
      </c>
      <c r="E80" s="163">
        <f t="shared" si="13"/>
        <v>0</v>
      </c>
      <c r="F80" s="163">
        <f t="shared" si="13"/>
        <v>0</v>
      </c>
      <c r="G80" s="163">
        <f t="shared" si="13"/>
        <v>0</v>
      </c>
      <c r="H80" s="163">
        <f t="shared" si="13"/>
        <v>0</v>
      </c>
      <c r="I80" s="163">
        <f t="shared" si="13"/>
        <v>0</v>
      </c>
      <c r="J80" s="163">
        <f t="shared" si="13"/>
        <v>0</v>
      </c>
      <c r="K80" s="163">
        <f t="shared" si="13"/>
        <v>0</v>
      </c>
      <c r="L80" s="571" t="s">
        <v>1151</v>
      </c>
    </row>
    <row r="81" spans="2:12">
      <c r="B81" s="164"/>
      <c r="C81" s="3"/>
      <c r="D81" s="2"/>
      <c r="E81" s="2"/>
      <c r="F81" s="2"/>
      <c r="G81" s="2"/>
      <c r="H81" s="2"/>
      <c r="I81" s="2"/>
      <c r="J81" s="2"/>
      <c r="K81" s="2"/>
    </row>
    <row r="82" spans="2:12" ht="20.100000000000001" customHeight="1" thickBot="1">
      <c r="B82" s="152" t="s">
        <v>853</v>
      </c>
      <c r="C82" s="83">
        <v>15124</v>
      </c>
      <c r="D82" s="83">
        <v>11134</v>
      </c>
      <c r="E82" s="83">
        <v>154</v>
      </c>
      <c r="F82" s="83">
        <f>D82+F78</f>
        <v>15067</v>
      </c>
      <c r="G82" s="83">
        <f>F82+G78</f>
        <v>-7693</v>
      </c>
      <c r="H82" s="83">
        <f>G82+H78</f>
        <v>-5695</v>
      </c>
      <c r="I82" s="83">
        <f>H82+I78</f>
        <v>-3951</v>
      </c>
      <c r="J82" s="83">
        <f>I82+J78</f>
        <v>-2473</v>
      </c>
      <c r="K82" s="83">
        <f>J82+K78</f>
        <v>-1275</v>
      </c>
    </row>
    <row r="83" spans="2:12" s="569" customFormat="1" ht="15.75" hidden="1" thickTop="1">
      <c r="B83" s="155"/>
      <c r="C83" s="132">
        <f>'Budget Detail FY 2013-20'!L299</f>
        <v>15124</v>
      </c>
      <c r="D83" s="132">
        <f>'Budget Detail FY 2013-20'!M299</f>
        <v>11134</v>
      </c>
      <c r="E83" s="132">
        <f>'Budget Detail FY 2013-20'!N299</f>
        <v>154</v>
      </c>
      <c r="F83" s="132">
        <f>'Budget Detail FY 2013-20'!O299</f>
        <v>15067</v>
      </c>
      <c r="G83" s="132">
        <f>'Budget Detail FY 2013-20'!P299</f>
        <v>-7693</v>
      </c>
      <c r="H83" s="132">
        <f>'Budget Detail FY 2013-20'!Q299</f>
        <v>-5695</v>
      </c>
      <c r="I83" s="132">
        <f>'Budget Detail FY 2013-20'!R299</f>
        <v>-3951</v>
      </c>
      <c r="J83" s="132">
        <f>'Budget Detail FY 2013-20'!S299</f>
        <v>-2473</v>
      </c>
      <c r="K83" s="132">
        <f>'Budget Detail FY 2013-20'!T299</f>
        <v>-1275</v>
      </c>
      <c r="L83" s="571" t="s">
        <v>1150</v>
      </c>
    </row>
    <row r="84" spans="2:12" s="570" customFormat="1" hidden="1">
      <c r="B84" s="157"/>
      <c r="C84" s="133">
        <f>C82-C83</f>
        <v>0</v>
      </c>
      <c r="D84" s="133">
        <f t="shared" ref="D84:K84" si="14">D82-D83</f>
        <v>0</v>
      </c>
      <c r="E84" s="133">
        <f t="shared" si="14"/>
        <v>0</v>
      </c>
      <c r="F84" s="133">
        <f t="shared" si="14"/>
        <v>0</v>
      </c>
      <c r="G84" s="133">
        <f t="shared" si="14"/>
        <v>0</v>
      </c>
      <c r="H84" s="133">
        <f t="shared" si="14"/>
        <v>0</v>
      </c>
      <c r="I84" s="133">
        <f t="shared" si="14"/>
        <v>0</v>
      </c>
      <c r="J84" s="133">
        <f t="shared" si="14"/>
        <v>0</v>
      </c>
      <c r="K84" s="133">
        <f t="shared" si="14"/>
        <v>0</v>
      </c>
      <c r="L84" s="571" t="s">
        <v>1151</v>
      </c>
    </row>
    <row r="85" spans="2:12" ht="15.75" thickTop="1">
      <c r="B85" s="165"/>
      <c r="C85" s="166">
        <f>C82/C74</f>
        <v>2.6334668291833538</v>
      </c>
      <c r="D85" s="166">
        <f t="shared" ref="D85:K85" si="15">D82/D74</f>
        <v>1.4318415637860082</v>
      </c>
      <c r="E85" s="166">
        <f t="shared" si="15"/>
        <v>7.8559404172830697E-3</v>
      </c>
      <c r="F85" s="166">
        <f t="shared" si="15"/>
        <v>3.2733000217249621</v>
      </c>
      <c r="G85" s="166">
        <f t="shared" si="15"/>
        <v>-0.25786880300338549</v>
      </c>
      <c r="H85" s="166">
        <f t="shared" si="15"/>
        <v>-1.122167487684729</v>
      </c>
      <c r="I85" s="166">
        <f t="shared" si="15"/>
        <v>-0.74141489960592977</v>
      </c>
      <c r="J85" s="166">
        <f t="shared" si="15"/>
        <v>-0.44200178731009832</v>
      </c>
      <c r="K85" s="166">
        <f t="shared" si="15"/>
        <v>-0.21702127659574469</v>
      </c>
    </row>
    <row r="86" spans="2:12">
      <c r="B86" s="165"/>
      <c r="C86" s="3"/>
      <c r="D86" s="3"/>
      <c r="E86" s="3"/>
      <c r="F86" s="2"/>
      <c r="G86" s="2"/>
      <c r="H86" s="2"/>
      <c r="I86" s="2"/>
      <c r="J86" s="2"/>
      <c r="K86" s="2"/>
    </row>
    <row r="87" spans="2:12">
      <c r="B87" s="1"/>
      <c r="C87" s="2"/>
      <c r="D87" s="2"/>
      <c r="E87" s="2"/>
      <c r="F87" s="2"/>
      <c r="G87" s="2"/>
      <c r="H87" s="2"/>
      <c r="I87" s="2"/>
      <c r="J87" s="2"/>
      <c r="K87" s="2"/>
    </row>
    <row r="88" spans="2:12">
      <c r="B88" s="1"/>
      <c r="C88" s="2"/>
      <c r="D88" s="2"/>
      <c r="E88" s="2"/>
      <c r="F88" s="2"/>
      <c r="G88" s="2"/>
      <c r="H88" s="2"/>
      <c r="I88" s="2"/>
      <c r="J88" s="2"/>
      <c r="K88" s="2"/>
    </row>
    <row r="89" spans="2:12">
      <c r="B89" s="1"/>
      <c r="C89" s="2"/>
      <c r="D89" s="2"/>
      <c r="E89" s="2"/>
      <c r="F89" s="2"/>
      <c r="G89" s="2"/>
      <c r="H89" s="2"/>
      <c r="I89" s="2"/>
      <c r="J89" s="2"/>
      <c r="K89" s="2"/>
    </row>
    <row r="90" spans="2:12">
      <c r="B90" s="1"/>
      <c r="C90" s="2"/>
      <c r="D90" s="2"/>
      <c r="E90" s="2"/>
      <c r="F90" s="2"/>
      <c r="G90" s="2"/>
      <c r="H90" s="2"/>
      <c r="I90" s="2"/>
      <c r="J90" s="2"/>
      <c r="K90" s="2"/>
    </row>
    <row r="91" spans="2:12">
      <c r="B91" s="1"/>
      <c r="C91" s="2"/>
      <c r="D91" s="2"/>
      <c r="E91" s="2"/>
      <c r="F91" s="2"/>
      <c r="G91" s="2"/>
      <c r="H91" s="2"/>
      <c r="I91" s="2"/>
      <c r="J91" s="2"/>
      <c r="K91" s="2"/>
    </row>
    <row r="92" spans="2:12">
      <c r="B92" s="1"/>
      <c r="C92" s="2"/>
      <c r="D92" s="2"/>
      <c r="E92" s="2"/>
      <c r="F92" s="2"/>
      <c r="G92" s="2"/>
      <c r="H92" s="2"/>
      <c r="I92" s="2"/>
      <c r="J92" s="2"/>
      <c r="K92" s="2"/>
    </row>
    <row r="93" spans="2:12">
      <c r="B93" s="1"/>
      <c r="C93" s="2"/>
      <c r="D93" s="2"/>
      <c r="E93" s="2"/>
      <c r="F93" s="2"/>
      <c r="G93" s="2"/>
      <c r="H93" s="2"/>
      <c r="I93" s="2"/>
      <c r="J93" s="2"/>
      <c r="K93" s="2"/>
    </row>
    <row r="94" spans="2:12">
      <c r="B94" s="1"/>
      <c r="C94" s="2"/>
      <c r="D94" s="2"/>
      <c r="E94" s="2"/>
      <c r="F94" s="2"/>
      <c r="G94" s="2"/>
      <c r="H94" s="2"/>
      <c r="I94" s="2"/>
      <c r="J94" s="2"/>
      <c r="K94" s="2"/>
    </row>
    <row r="95" spans="2:12">
      <c r="B95" s="1"/>
      <c r="C95" s="2"/>
      <c r="D95" s="2"/>
      <c r="E95" s="2"/>
      <c r="F95" s="2"/>
      <c r="G95" s="2"/>
      <c r="H95" s="2"/>
      <c r="I95" s="2"/>
      <c r="J95" s="2"/>
      <c r="K95" s="2"/>
    </row>
    <row r="96" spans="2:12">
      <c r="B96" s="1"/>
      <c r="C96" s="2"/>
      <c r="D96" s="2"/>
      <c r="E96" s="2"/>
      <c r="F96" s="2"/>
      <c r="G96" s="2"/>
      <c r="H96" s="2"/>
      <c r="I96" s="2"/>
      <c r="J96" s="2"/>
      <c r="K96" s="2"/>
    </row>
    <row r="97" spans="2:11">
      <c r="B97" s="1"/>
      <c r="C97" s="2"/>
      <c r="D97" s="2"/>
      <c r="E97" s="2"/>
      <c r="F97" s="2"/>
      <c r="G97" s="2"/>
      <c r="H97" s="2"/>
      <c r="I97" s="2"/>
      <c r="J97" s="2"/>
      <c r="K97" s="2"/>
    </row>
    <row r="98" spans="2:11">
      <c r="B98" s="1"/>
      <c r="C98" s="2"/>
      <c r="D98" s="2"/>
      <c r="E98" s="2"/>
      <c r="F98" s="2"/>
      <c r="G98" s="2"/>
      <c r="H98" s="2"/>
      <c r="I98" s="2"/>
      <c r="J98" s="2"/>
      <c r="K98" s="2"/>
    </row>
    <row r="100" spans="2:11">
      <c r="B100" s="740" t="s">
        <v>856</v>
      </c>
      <c r="C100" s="740"/>
      <c r="D100" s="740"/>
      <c r="E100" s="740"/>
      <c r="F100" s="740"/>
      <c r="G100" s="740"/>
      <c r="H100" s="740"/>
      <c r="I100" s="740"/>
      <c r="J100" s="740"/>
      <c r="K100" s="740"/>
    </row>
    <row r="101" spans="2:11">
      <c r="B101" s="65"/>
      <c r="C101" s="3"/>
      <c r="D101" s="2"/>
      <c r="E101" s="2"/>
      <c r="F101" s="2"/>
      <c r="G101" s="2"/>
      <c r="H101" s="2"/>
      <c r="I101" s="2"/>
      <c r="J101" s="2"/>
      <c r="K101" s="2"/>
    </row>
    <row r="102" spans="2:11" ht="12.75" customHeight="1">
      <c r="B102" s="731" t="s">
        <v>857</v>
      </c>
      <c r="C102" s="731"/>
      <c r="D102" s="731"/>
      <c r="E102" s="731"/>
      <c r="F102" s="731"/>
      <c r="G102" s="731"/>
      <c r="H102" s="731"/>
      <c r="I102" s="731"/>
      <c r="J102" s="731"/>
      <c r="K102" s="731"/>
    </row>
    <row r="103" spans="2:11" ht="18" customHeight="1">
      <c r="B103" s="731"/>
      <c r="C103" s="731"/>
      <c r="D103" s="731"/>
      <c r="E103" s="731"/>
      <c r="F103" s="731"/>
      <c r="G103" s="731"/>
      <c r="H103" s="731"/>
      <c r="I103" s="731"/>
      <c r="J103" s="731"/>
      <c r="K103" s="731"/>
    </row>
    <row r="104" spans="2:11">
      <c r="B104" s="563"/>
      <c r="C104" s="22"/>
      <c r="D104" s="22"/>
      <c r="E104" s="22"/>
      <c r="F104" s="2"/>
      <c r="G104" s="2"/>
      <c r="H104" s="2"/>
      <c r="I104" s="2"/>
      <c r="J104" s="2"/>
      <c r="K104" s="2"/>
    </row>
    <row r="105" spans="2:11">
      <c r="B105" s="5"/>
      <c r="C105" s="65"/>
      <c r="D105" s="66"/>
      <c r="E105" s="65" t="s">
        <v>270</v>
      </c>
      <c r="F105" s="1"/>
      <c r="G105" s="1"/>
      <c r="H105" s="1"/>
      <c r="I105" s="1"/>
      <c r="J105" s="1"/>
      <c r="K105" s="1"/>
    </row>
    <row r="106" spans="2:11">
      <c r="B106" s="66"/>
      <c r="C106" s="65" t="s">
        <v>257</v>
      </c>
      <c r="D106" s="49" t="s">
        <v>258</v>
      </c>
      <c r="E106" s="66" t="s">
        <v>832</v>
      </c>
      <c r="F106" s="66" t="s">
        <v>270</v>
      </c>
      <c r="G106" s="66" t="s">
        <v>271</v>
      </c>
      <c r="H106" s="66" t="s">
        <v>272</v>
      </c>
      <c r="I106" s="66" t="s">
        <v>996</v>
      </c>
      <c r="J106" s="66" t="s">
        <v>1101</v>
      </c>
      <c r="K106" s="66" t="s">
        <v>1136</v>
      </c>
    </row>
    <row r="107" spans="2:11" ht="15.75" thickBot="1">
      <c r="B107" s="169"/>
      <c r="C107" s="68" t="s">
        <v>1</v>
      </c>
      <c r="D107" s="68" t="s">
        <v>1</v>
      </c>
      <c r="E107" s="68" t="s">
        <v>787</v>
      </c>
      <c r="F107" s="68" t="s">
        <v>19</v>
      </c>
      <c r="G107" s="68" t="s">
        <v>832</v>
      </c>
      <c r="H107" s="68" t="s">
        <v>19</v>
      </c>
      <c r="I107" s="68" t="s">
        <v>19</v>
      </c>
      <c r="J107" s="68" t="s">
        <v>19</v>
      </c>
      <c r="K107" s="68" t="s">
        <v>19</v>
      </c>
    </row>
    <row r="108" spans="2:11">
      <c r="B108" s="64"/>
      <c r="C108" s="170"/>
      <c r="D108" s="2"/>
      <c r="E108" s="2"/>
      <c r="F108" s="2"/>
      <c r="G108" s="2"/>
      <c r="H108" s="2"/>
      <c r="I108" s="2"/>
      <c r="J108" s="2"/>
      <c r="K108" s="2"/>
    </row>
    <row r="109" spans="2:11">
      <c r="B109" s="158" t="s">
        <v>833</v>
      </c>
      <c r="C109" s="2"/>
      <c r="D109" s="2"/>
      <c r="E109" s="2"/>
      <c r="F109" s="2"/>
      <c r="G109" s="2"/>
      <c r="H109" s="2"/>
      <c r="I109" s="2"/>
      <c r="J109" s="2"/>
      <c r="K109" s="2"/>
    </row>
    <row r="110" spans="2:11" ht="20.100000000000001" customHeight="1">
      <c r="B110" s="506" t="s">
        <v>834</v>
      </c>
      <c r="C110" s="2">
        <f>'Budget Detail FY 2013-20'!L304</f>
        <v>7530</v>
      </c>
      <c r="D110" s="2">
        <f>'Budget Detail FY 2013-20'!M304</f>
        <v>7467</v>
      </c>
      <c r="E110" s="2">
        <f>'Budget Detail FY 2013-20'!N304</f>
        <v>17416</v>
      </c>
      <c r="F110" s="2">
        <f>'Budget Detail FY 2013-20'!O304</f>
        <v>17417</v>
      </c>
      <c r="G110" s="2">
        <f>'Budget Detail FY 2013-20'!P304</f>
        <v>18608</v>
      </c>
      <c r="H110" s="2">
        <f>'Budget Detail FY 2013-20'!Q304</f>
        <v>20392</v>
      </c>
      <c r="I110" s="2">
        <f>'Budget Detail FY 2013-20'!R304</f>
        <v>20392</v>
      </c>
      <c r="J110" s="2">
        <f>'Budget Detail FY 2013-20'!S304</f>
        <v>20392</v>
      </c>
      <c r="K110" s="2">
        <f>'Budget Detail FY 2013-20'!T304</f>
        <v>20392</v>
      </c>
    </row>
    <row r="111" spans="2:11" ht="20.100000000000001" customHeight="1">
      <c r="B111" s="506" t="s">
        <v>839</v>
      </c>
      <c r="C111" s="2">
        <f>'Budget Detail FY 2013-20'!L305</f>
        <v>14</v>
      </c>
      <c r="D111" s="2">
        <f>'Budget Detail FY 2013-20'!M305</f>
        <v>2</v>
      </c>
      <c r="E111" s="2">
        <f>'Budget Detail FY 2013-20'!N305</f>
        <v>0</v>
      </c>
      <c r="F111" s="2">
        <f>'Budget Detail FY 2013-20'!O305</f>
        <v>0</v>
      </c>
      <c r="G111" s="2">
        <f>'Budget Detail FY 2013-20'!P305</f>
        <v>0</v>
      </c>
      <c r="H111" s="2">
        <f>'Budget Detail FY 2013-20'!Q305</f>
        <v>0</v>
      </c>
      <c r="I111" s="2">
        <f>'Budget Detail FY 2013-20'!R305</f>
        <v>0</v>
      </c>
      <c r="J111" s="2">
        <f>'Budget Detail FY 2013-20'!S305</f>
        <v>0</v>
      </c>
      <c r="K111" s="2">
        <f>'Budget Detail FY 2013-20'!T305</f>
        <v>0</v>
      </c>
    </row>
    <row r="112" spans="2:11" ht="20.100000000000001" customHeight="1" thickBot="1">
      <c r="B112" s="153" t="s">
        <v>843</v>
      </c>
      <c r="C112" s="150">
        <f t="shared" ref="C112:J112" si="16">SUM(C110:C111)</f>
        <v>7544</v>
      </c>
      <c r="D112" s="150">
        <f t="shared" si="16"/>
        <v>7469</v>
      </c>
      <c r="E112" s="150">
        <f t="shared" si="16"/>
        <v>17416</v>
      </c>
      <c r="F112" s="150">
        <f t="shared" si="16"/>
        <v>17417</v>
      </c>
      <c r="G112" s="150">
        <f t="shared" si="16"/>
        <v>18608</v>
      </c>
      <c r="H112" s="150">
        <f t="shared" si="16"/>
        <v>20392</v>
      </c>
      <c r="I112" s="150">
        <f t="shared" si="16"/>
        <v>20392</v>
      </c>
      <c r="J112" s="150">
        <f t="shared" si="16"/>
        <v>20392</v>
      </c>
      <c r="K112" s="150">
        <f>SUM(K110:K111)</f>
        <v>20392</v>
      </c>
    </row>
    <row r="113" spans="2:12" s="569" customFormat="1" hidden="1">
      <c r="B113" s="155"/>
      <c r="C113" s="132">
        <f>'Budget Detail FY 2013-20'!L307</f>
        <v>7544</v>
      </c>
      <c r="D113" s="132">
        <f>'Budget Detail FY 2013-20'!M307</f>
        <v>7469</v>
      </c>
      <c r="E113" s="132">
        <f>'Budget Detail FY 2013-20'!N307</f>
        <v>17416</v>
      </c>
      <c r="F113" s="132">
        <f>'Budget Detail FY 2013-20'!O307</f>
        <v>17417</v>
      </c>
      <c r="G113" s="132">
        <f>'Budget Detail FY 2013-20'!P307</f>
        <v>18608</v>
      </c>
      <c r="H113" s="132">
        <f>'Budget Detail FY 2013-20'!Q307</f>
        <v>20392</v>
      </c>
      <c r="I113" s="132">
        <f>'Budget Detail FY 2013-20'!R307</f>
        <v>20392</v>
      </c>
      <c r="J113" s="132">
        <f>'Budget Detail FY 2013-20'!S307</f>
        <v>20392</v>
      </c>
      <c r="K113" s="132">
        <f>'Budget Detail FY 2013-20'!T307</f>
        <v>20392</v>
      </c>
      <c r="L113" s="571" t="s">
        <v>1150</v>
      </c>
    </row>
    <row r="114" spans="2:12" s="570" customFormat="1" hidden="1">
      <c r="B114" s="157"/>
      <c r="C114" s="133">
        <f>C112-C113</f>
        <v>0</v>
      </c>
      <c r="D114" s="133">
        <f t="shared" ref="D114:K114" si="17">D112-D113</f>
        <v>0</v>
      </c>
      <c r="E114" s="133">
        <f t="shared" si="17"/>
        <v>0</v>
      </c>
      <c r="F114" s="133">
        <f t="shared" si="17"/>
        <v>0</v>
      </c>
      <c r="G114" s="133">
        <f t="shared" si="17"/>
        <v>0</v>
      </c>
      <c r="H114" s="133">
        <f t="shared" si="17"/>
        <v>0</v>
      </c>
      <c r="I114" s="133">
        <f t="shared" si="17"/>
        <v>0</v>
      </c>
      <c r="J114" s="133">
        <f t="shared" si="17"/>
        <v>0</v>
      </c>
      <c r="K114" s="133">
        <f t="shared" si="17"/>
        <v>0</v>
      </c>
      <c r="L114" s="571" t="s">
        <v>1151</v>
      </c>
    </row>
    <row r="115" spans="2:12">
      <c r="B115" s="1"/>
      <c r="C115" s="2"/>
      <c r="D115" s="2"/>
      <c r="E115" s="2"/>
      <c r="F115" s="2"/>
      <c r="G115" s="2"/>
      <c r="H115" s="2"/>
      <c r="I115" s="2"/>
      <c r="J115" s="2"/>
      <c r="K115" s="2"/>
    </row>
    <row r="116" spans="2:12">
      <c r="B116" s="158" t="s">
        <v>598</v>
      </c>
      <c r="C116" s="2"/>
      <c r="D116" s="2"/>
      <c r="E116" s="2"/>
      <c r="F116" s="2"/>
      <c r="G116" s="2"/>
      <c r="H116" s="2"/>
      <c r="I116" s="2"/>
      <c r="J116" s="2"/>
      <c r="K116" s="2"/>
    </row>
    <row r="117" spans="2:12" ht="20.100000000000001" customHeight="1">
      <c r="B117" s="508" t="s">
        <v>846</v>
      </c>
      <c r="C117" s="2">
        <f>SUM('Budget Detail FY 2013-20'!L309:L310)</f>
        <v>11992</v>
      </c>
      <c r="D117" s="2">
        <f>SUM('Budget Detail FY 2013-20'!M309:M310)</f>
        <v>12635</v>
      </c>
      <c r="E117" s="2">
        <f>SUM('Budget Detail FY 2013-20'!N309:N310)</f>
        <v>35985</v>
      </c>
      <c r="F117" s="2">
        <f>SUM('Budget Detail FY 2013-20'!O309:O310)</f>
        <v>50985</v>
      </c>
      <c r="G117" s="2">
        <f>SUM('Budget Detail FY 2013-20'!P309:P310)</f>
        <v>37594</v>
      </c>
      <c r="H117" s="2">
        <f>SUM('Budget Detail FY 2013-20'!Q309:Q310)</f>
        <v>12111</v>
      </c>
      <c r="I117" s="2">
        <f>SUM('Budget Detail FY 2013-20'!R309:R310)</f>
        <v>12717</v>
      </c>
      <c r="J117" s="2">
        <f>SUM('Budget Detail FY 2013-20'!S309:S310)</f>
        <v>13353</v>
      </c>
      <c r="K117" s="2">
        <f>SUM('Budget Detail FY 2013-20'!T309:T310)</f>
        <v>14021</v>
      </c>
    </row>
    <row r="118" spans="2:12" ht="20.100000000000001" customHeight="1" thickBot="1">
      <c r="B118" s="153" t="s">
        <v>851</v>
      </c>
      <c r="C118" s="150">
        <f t="shared" ref="C118:J118" si="18">SUM(C117:C117)</f>
        <v>11992</v>
      </c>
      <c r="D118" s="150">
        <f t="shared" si="18"/>
        <v>12635</v>
      </c>
      <c r="E118" s="150">
        <f t="shared" si="18"/>
        <v>35985</v>
      </c>
      <c r="F118" s="150">
        <f t="shared" si="18"/>
        <v>50985</v>
      </c>
      <c r="G118" s="150">
        <f t="shared" si="18"/>
        <v>37594</v>
      </c>
      <c r="H118" s="150">
        <f t="shared" si="18"/>
        <v>12111</v>
      </c>
      <c r="I118" s="150">
        <f t="shared" si="18"/>
        <v>12717</v>
      </c>
      <c r="J118" s="150">
        <f t="shared" si="18"/>
        <v>13353</v>
      </c>
      <c r="K118" s="150">
        <f>SUM(K117:K117)</f>
        <v>14021</v>
      </c>
    </row>
    <row r="119" spans="2:12" s="569" customFormat="1" hidden="1">
      <c r="B119" s="155"/>
      <c r="C119" s="132">
        <f>'Budget Detail FY 2013-20'!L312</f>
        <v>11992</v>
      </c>
      <c r="D119" s="132">
        <f>'Budget Detail FY 2013-20'!M312</f>
        <v>12635</v>
      </c>
      <c r="E119" s="132">
        <f>'Budget Detail FY 2013-20'!N312</f>
        <v>35985</v>
      </c>
      <c r="F119" s="132">
        <f>'Budget Detail FY 2013-20'!O312</f>
        <v>50985</v>
      </c>
      <c r="G119" s="132">
        <f>'Budget Detail FY 2013-20'!P312</f>
        <v>37594</v>
      </c>
      <c r="H119" s="132">
        <f>'Budget Detail FY 2013-20'!Q312</f>
        <v>12111</v>
      </c>
      <c r="I119" s="132">
        <f>'Budget Detail FY 2013-20'!R312</f>
        <v>12717</v>
      </c>
      <c r="J119" s="132">
        <f>'Budget Detail FY 2013-20'!S312</f>
        <v>13353</v>
      </c>
      <c r="K119" s="132">
        <f>'Budget Detail FY 2013-20'!T312</f>
        <v>14021</v>
      </c>
      <c r="L119" s="571" t="s">
        <v>1150</v>
      </c>
    </row>
    <row r="120" spans="2:12" s="570" customFormat="1" hidden="1">
      <c r="B120" s="157"/>
      <c r="C120" s="133">
        <f>C118-C119</f>
        <v>0</v>
      </c>
      <c r="D120" s="133">
        <f t="shared" ref="D120:K120" si="19">D118-D119</f>
        <v>0</v>
      </c>
      <c r="E120" s="133">
        <f t="shared" si="19"/>
        <v>0</v>
      </c>
      <c r="F120" s="133">
        <f t="shared" si="19"/>
        <v>0</v>
      </c>
      <c r="G120" s="133">
        <f t="shared" si="19"/>
        <v>0</v>
      </c>
      <c r="H120" s="133">
        <f t="shared" si="19"/>
        <v>0</v>
      </c>
      <c r="I120" s="133">
        <f t="shared" si="19"/>
        <v>0</v>
      </c>
      <c r="J120" s="133">
        <f t="shared" si="19"/>
        <v>0</v>
      </c>
      <c r="K120" s="133">
        <f t="shared" si="19"/>
        <v>0</v>
      </c>
      <c r="L120" s="571" t="s">
        <v>1151</v>
      </c>
    </row>
    <row r="121" spans="2:12">
      <c r="B121" s="160"/>
      <c r="C121" s="3"/>
      <c r="D121" s="2"/>
      <c r="E121" s="2"/>
      <c r="F121" s="2"/>
      <c r="G121" s="2"/>
      <c r="H121" s="2"/>
      <c r="I121" s="2"/>
      <c r="J121" s="2"/>
      <c r="K121" s="2"/>
    </row>
    <row r="122" spans="2:12" ht="20.100000000000001" customHeight="1">
      <c r="B122" s="510" t="s">
        <v>852</v>
      </c>
      <c r="C122" s="3">
        <f t="shared" ref="C122:J122" si="20">+C112-C118</f>
        <v>-4448</v>
      </c>
      <c r="D122" s="3">
        <f t="shared" si="20"/>
        <v>-5166</v>
      </c>
      <c r="E122" s="3">
        <f t="shared" si="20"/>
        <v>-18569</v>
      </c>
      <c r="F122" s="3">
        <f t="shared" si="20"/>
        <v>-33568</v>
      </c>
      <c r="G122" s="3">
        <f t="shared" si="20"/>
        <v>-18986</v>
      </c>
      <c r="H122" s="3">
        <f t="shared" si="20"/>
        <v>8281</v>
      </c>
      <c r="I122" s="3">
        <f t="shared" si="20"/>
        <v>7675</v>
      </c>
      <c r="J122" s="3">
        <f t="shared" si="20"/>
        <v>7039</v>
      </c>
      <c r="K122" s="3">
        <f>+K112-K118</f>
        <v>6371</v>
      </c>
    </row>
    <row r="123" spans="2:12" s="569" customFormat="1" ht="15" hidden="1" customHeight="1">
      <c r="B123" s="161"/>
      <c r="C123" s="132">
        <f>'Budget Detail FY 2013-20'!L314</f>
        <v>-4448</v>
      </c>
      <c r="D123" s="132">
        <f>'Budget Detail FY 2013-20'!M314</f>
        <v>-5166</v>
      </c>
      <c r="E123" s="132">
        <f>'Budget Detail FY 2013-20'!N314</f>
        <v>-18569</v>
      </c>
      <c r="F123" s="132">
        <f>'Budget Detail FY 2013-20'!O314</f>
        <v>-33568</v>
      </c>
      <c r="G123" s="132">
        <f>'Budget Detail FY 2013-20'!P314</f>
        <v>-18986</v>
      </c>
      <c r="H123" s="132">
        <f>'Budget Detail FY 2013-20'!Q314</f>
        <v>8281</v>
      </c>
      <c r="I123" s="132">
        <f>'Budget Detail FY 2013-20'!R314</f>
        <v>7675</v>
      </c>
      <c r="J123" s="132">
        <f>'Budget Detail FY 2013-20'!S314</f>
        <v>7039</v>
      </c>
      <c r="K123" s="132">
        <f>'Budget Detail FY 2013-20'!T314</f>
        <v>6371</v>
      </c>
      <c r="L123" s="571" t="s">
        <v>1150</v>
      </c>
    </row>
    <row r="124" spans="2:12" s="570" customFormat="1" ht="15" hidden="1" customHeight="1">
      <c r="B124" s="162"/>
      <c r="C124" s="171">
        <f>C122-C123</f>
        <v>0</v>
      </c>
      <c r="D124" s="171">
        <f t="shared" ref="D124:K124" si="21">D122-D123</f>
        <v>0</v>
      </c>
      <c r="E124" s="171">
        <f t="shared" si="21"/>
        <v>0</v>
      </c>
      <c r="F124" s="171">
        <f t="shared" si="21"/>
        <v>0</v>
      </c>
      <c r="G124" s="171">
        <f t="shared" si="21"/>
        <v>0</v>
      </c>
      <c r="H124" s="171">
        <f t="shared" si="21"/>
        <v>0</v>
      </c>
      <c r="I124" s="171">
        <f t="shared" si="21"/>
        <v>0</v>
      </c>
      <c r="J124" s="171">
        <f t="shared" si="21"/>
        <v>0</v>
      </c>
      <c r="K124" s="171">
        <f t="shared" si="21"/>
        <v>0</v>
      </c>
      <c r="L124" s="571" t="s">
        <v>1151</v>
      </c>
    </row>
    <row r="125" spans="2:12">
      <c r="B125" s="164"/>
      <c r="C125" s="3"/>
      <c r="D125" s="2"/>
      <c r="E125" s="2"/>
      <c r="F125" s="2"/>
      <c r="G125" s="2"/>
      <c r="H125" s="2"/>
      <c r="I125" s="2"/>
      <c r="J125" s="2"/>
      <c r="K125" s="2"/>
    </row>
    <row r="126" spans="2:12" ht="20.100000000000001" customHeight="1" thickBot="1">
      <c r="B126" s="152" t="s">
        <v>853</v>
      </c>
      <c r="C126" s="83">
        <v>7740</v>
      </c>
      <c r="D126" s="83">
        <v>2574</v>
      </c>
      <c r="E126" s="83">
        <v>-18345</v>
      </c>
      <c r="F126" s="83">
        <f>D126+F122</f>
        <v>-30994</v>
      </c>
      <c r="G126" s="83">
        <f>F126+G122</f>
        <v>-49980</v>
      </c>
      <c r="H126" s="83">
        <f>G126+H122</f>
        <v>-41699</v>
      </c>
      <c r="I126" s="83">
        <f>H126+I122</f>
        <v>-34024</v>
      </c>
      <c r="J126" s="83">
        <f>I126+J122</f>
        <v>-26985</v>
      </c>
      <c r="K126" s="83">
        <f>J126+K122</f>
        <v>-20614</v>
      </c>
    </row>
    <row r="127" spans="2:12" s="569" customFormat="1" ht="15.75" hidden="1" customHeight="1" thickTop="1">
      <c r="B127" s="155"/>
      <c r="C127" s="132">
        <f>'Budget Detail FY 2013-20'!L316</f>
        <v>7740</v>
      </c>
      <c r="D127" s="132">
        <f>'Budget Detail FY 2013-20'!M316</f>
        <v>2574</v>
      </c>
      <c r="E127" s="132">
        <f>'Budget Detail FY 2013-20'!N316</f>
        <v>-18345</v>
      </c>
      <c r="F127" s="132">
        <f>'Budget Detail FY 2013-20'!O316</f>
        <v>-30994</v>
      </c>
      <c r="G127" s="132">
        <f>'Budget Detail FY 2013-20'!P316</f>
        <v>-49980</v>
      </c>
      <c r="H127" s="132">
        <f>'Budget Detail FY 2013-20'!Q316</f>
        <v>-41699</v>
      </c>
      <c r="I127" s="132">
        <f>'Budget Detail FY 2013-20'!R316</f>
        <v>-34024</v>
      </c>
      <c r="J127" s="132">
        <f>'Budget Detail FY 2013-20'!S316</f>
        <v>-26985</v>
      </c>
      <c r="K127" s="132">
        <f>'Budget Detail FY 2013-20'!T316</f>
        <v>-20614</v>
      </c>
      <c r="L127" s="571" t="s">
        <v>1150</v>
      </c>
    </row>
    <row r="128" spans="2:12" s="570" customFormat="1" ht="14.25" hidden="1" customHeight="1">
      <c r="B128" s="157"/>
      <c r="C128" s="133">
        <f>C126-C127</f>
        <v>0</v>
      </c>
      <c r="D128" s="133">
        <f t="shared" ref="D128:K128" si="22">D126-D127</f>
        <v>0</v>
      </c>
      <c r="E128" s="133">
        <f t="shared" si="22"/>
        <v>0</v>
      </c>
      <c r="F128" s="133">
        <f t="shared" si="22"/>
        <v>0</v>
      </c>
      <c r="G128" s="133">
        <f t="shared" si="22"/>
        <v>0</v>
      </c>
      <c r="H128" s="133">
        <f t="shared" si="22"/>
        <v>0</v>
      </c>
      <c r="I128" s="133">
        <f t="shared" si="22"/>
        <v>0</v>
      </c>
      <c r="J128" s="133">
        <f t="shared" si="22"/>
        <v>0</v>
      </c>
      <c r="K128" s="133">
        <f t="shared" si="22"/>
        <v>0</v>
      </c>
      <c r="L128" s="571" t="s">
        <v>1151</v>
      </c>
    </row>
    <row r="129" spans="2:12" s="572" customFormat="1" ht="15.75" thickTop="1">
      <c r="B129" s="160"/>
      <c r="C129" s="166">
        <f>C126/C118</f>
        <v>0.64543028685790527</v>
      </c>
      <c r="D129" s="166">
        <f t="shared" ref="D129:K129" si="23">D126/D118</f>
        <v>0.2037198258804907</v>
      </c>
      <c r="E129" s="166">
        <f t="shared" si="23"/>
        <v>-0.50979574822842855</v>
      </c>
      <c r="F129" s="166">
        <f t="shared" si="23"/>
        <v>-0.60790428557418852</v>
      </c>
      <c r="G129" s="166">
        <f t="shared" si="23"/>
        <v>-1.3294674682130128</v>
      </c>
      <c r="H129" s="166">
        <f t="shared" si="23"/>
        <v>-3.443068285030138</v>
      </c>
      <c r="I129" s="166">
        <f t="shared" si="23"/>
        <v>-2.675473775261461</v>
      </c>
      <c r="J129" s="166">
        <f t="shared" si="23"/>
        <v>-2.0208941810829026</v>
      </c>
      <c r="K129" s="166">
        <f t="shared" si="23"/>
        <v>-1.4702232365737109</v>
      </c>
      <c r="L129" s="571"/>
    </row>
    <row r="130" spans="2:12">
      <c r="B130" s="165"/>
      <c r="C130" s="172"/>
      <c r="D130" s="172"/>
      <c r="E130" s="172"/>
      <c r="F130" s="172"/>
      <c r="G130" s="172"/>
      <c r="H130" s="172"/>
      <c r="I130" s="172"/>
      <c r="J130" s="172"/>
      <c r="K130" s="172"/>
    </row>
    <row r="131" spans="2:12">
      <c r="B131" s="1"/>
      <c r="C131" s="2"/>
      <c r="D131" s="2"/>
      <c r="E131" s="2"/>
      <c r="F131" s="2"/>
      <c r="G131" s="2"/>
      <c r="H131" s="2"/>
      <c r="I131" s="2"/>
      <c r="J131" s="2"/>
      <c r="K131" s="2"/>
    </row>
    <row r="132" spans="2:12">
      <c r="B132" s="1"/>
      <c r="C132" s="2"/>
      <c r="D132" s="2"/>
      <c r="E132" s="2"/>
      <c r="F132" s="2"/>
      <c r="G132" s="2"/>
      <c r="H132" s="2"/>
      <c r="I132" s="2"/>
      <c r="J132" s="2"/>
      <c r="K132" s="2"/>
    </row>
    <row r="133" spans="2:12">
      <c r="B133" s="1"/>
      <c r="C133" s="2"/>
      <c r="D133" s="2"/>
      <c r="E133" s="2"/>
      <c r="F133" s="2"/>
      <c r="G133" s="2"/>
      <c r="H133" s="2"/>
      <c r="I133" s="2"/>
      <c r="J133" s="2"/>
      <c r="K133" s="2"/>
    </row>
    <row r="134" spans="2:12">
      <c r="B134" s="1"/>
      <c r="C134" s="2"/>
      <c r="D134" s="2"/>
      <c r="E134" s="2"/>
      <c r="F134" s="2"/>
      <c r="G134" s="2"/>
      <c r="H134" s="2"/>
      <c r="I134" s="2"/>
      <c r="J134" s="2"/>
      <c r="K134" s="2"/>
    </row>
    <row r="135" spans="2:12">
      <c r="B135" s="1"/>
      <c r="C135" s="2"/>
      <c r="D135" s="2"/>
      <c r="E135" s="2"/>
      <c r="F135" s="2"/>
      <c r="G135" s="2"/>
      <c r="H135" s="2"/>
      <c r="I135" s="2"/>
      <c r="J135" s="2"/>
      <c r="K135" s="2"/>
    </row>
    <row r="136" spans="2:12">
      <c r="B136" s="1"/>
      <c r="C136" s="2"/>
      <c r="D136" s="2"/>
      <c r="E136" s="2"/>
      <c r="F136" s="2"/>
      <c r="G136" s="2"/>
      <c r="H136" s="2"/>
      <c r="I136" s="2"/>
      <c r="J136" s="2"/>
      <c r="K136" s="2"/>
    </row>
    <row r="137" spans="2:12">
      <c r="B137" s="1"/>
      <c r="C137" s="2"/>
      <c r="D137" s="2"/>
      <c r="E137" s="2"/>
      <c r="F137" s="2"/>
      <c r="G137" s="2"/>
      <c r="H137" s="2"/>
      <c r="I137" s="2"/>
      <c r="J137" s="2"/>
      <c r="K137" s="2"/>
    </row>
    <row r="138" spans="2:12">
      <c r="B138" s="1"/>
      <c r="C138" s="2"/>
      <c r="D138" s="2"/>
      <c r="E138" s="2"/>
      <c r="F138" s="2"/>
      <c r="G138" s="2"/>
      <c r="H138" s="2"/>
      <c r="I138" s="2"/>
      <c r="J138" s="2"/>
      <c r="K138" s="2"/>
    </row>
    <row r="139" spans="2:12">
      <c r="B139" s="1"/>
      <c r="C139" s="2"/>
      <c r="D139" s="2"/>
      <c r="E139" s="2"/>
      <c r="F139" s="2"/>
      <c r="G139" s="2"/>
      <c r="H139" s="2"/>
      <c r="I139" s="2"/>
      <c r="J139" s="2"/>
      <c r="K139" s="2"/>
    </row>
    <row r="140" spans="2:12">
      <c r="B140" s="1"/>
      <c r="C140" s="2"/>
      <c r="D140" s="2"/>
      <c r="E140" s="2"/>
      <c r="F140" s="2"/>
      <c r="G140" s="2"/>
      <c r="H140" s="2"/>
      <c r="I140" s="2"/>
      <c r="J140" s="2"/>
      <c r="K140" s="2"/>
    </row>
    <row r="141" spans="2:12" ht="21" customHeight="1">
      <c r="B141" s="1"/>
      <c r="C141" s="2"/>
      <c r="D141" s="2"/>
      <c r="E141" s="2"/>
      <c r="F141" s="2"/>
      <c r="G141" s="2"/>
      <c r="H141" s="2"/>
      <c r="I141" s="2"/>
      <c r="J141" s="2"/>
      <c r="K141" s="2"/>
    </row>
    <row r="143" spans="2:12">
      <c r="B143" s="740" t="s">
        <v>858</v>
      </c>
      <c r="C143" s="740"/>
      <c r="D143" s="740"/>
      <c r="E143" s="740"/>
      <c r="F143" s="740"/>
      <c r="G143" s="740"/>
      <c r="H143" s="740"/>
      <c r="I143" s="740"/>
      <c r="J143" s="740"/>
      <c r="K143" s="740"/>
    </row>
    <row r="144" spans="2:12">
      <c r="B144" s="65"/>
      <c r="C144" s="3"/>
      <c r="D144" s="2"/>
      <c r="E144" s="2"/>
      <c r="F144" s="2"/>
      <c r="G144" s="2"/>
      <c r="H144" s="2"/>
      <c r="I144" s="2"/>
      <c r="J144" s="2"/>
      <c r="K144" s="2"/>
    </row>
    <row r="145" spans="2:12" ht="12.75" customHeight="1">
      <c r="B145" s="731" t="s">
        <v>1290</v>
      </c>
      <c r="C145" s="731"/>
      <c r="D145" s="731"/>
      <c r="E145" s="731"/>
      <c r="F145" s="731"/>
      <c r="G145" s="731"/>
      <c r="H145" s="731"/>
      <c r="I145" s="731"/>
      <c r="J145" s="731"/>
      <c r="K145" s="731"/>
    </row>
    <row r="146" spans="2:12" ht="18.75" customHeight="1">
      <c r="B146" s="731"/>
      <c r="C146" s="731"/>
      <c r="D146" s="731"/>
      <c r="E146" s="731"/>
      <c r="F146" s="731"/>
      <c r="G146" s="731"/>
      <c r="H146" s="731"/>
      <c r="I146" s="731"/>
      <c r="J146" s="731"/>
      <c r="K146" s="731"/>
    </row>
    <row r="147" spans="2:12" ht="7.5" customHeight="1">
      <c r="B147" s="564"/>
      <c r="C147" s="573"/>
      <c r="D147" s="573"/>
      <c r="E147" s="574"/>
      <c r="F147" s="2"/>
      <c r="G147" s="2"/>
      <c r="H147" s="2"/>
      <c r="I147" s="2"/>
      <c r="J147" s="2"/>
      <c r="K147" s="2"/>
    </row>
    <row r="148" spans="2:12">
      <c r="B148" s="575"/>
      <c r="C148" s="65"/>
      <c r="D148" s="66"/>
      <c r="E148" s="65" t="s">
        <v>270</v>
      </c>
      <c r="F148" s="1"/>
      <c r="G148" s="1"/>
      <c r="H148" s="1"/>
      <c r="I148" s="1"/>
      <c r="J148" s="1"/>
      <c r="K148" s="1"/>
    </row>
    <row r="149" spans="2:12">
      <c r="B149" s="66"/>
      <c r="C149" s="65" t="s">
        <v>257</v>
      </c>
      <c r="D149" s="49" t="s">
        <v>258</v>
      </c>
      <c r="E149" s="66" t="s">
        <v>832</v>
      </c>
      <c r="F149" s="66" t="s">
        <v>270</v>
      </c>
      <c r="G149" s="66" t="s">
        <v>271</v>
      </c>
      <c r="H149" s="66" t="s">
        <v>272</v>
      </c>
      <c r="I149" s="66" t="s">
        <v>996</v>
      </c>
      <c r="J149" s="66" t="s">
        <v>1101</v>
      </c>
      <c r="K149" s="66" t="s">
        <v>1136</v>
      </c>
    </row>
    <row r="150" spans="2:12" ht="15.75" thickBot="1">
      <c r="B150" s="169"/>
      <c r="C150" s="68" t="s">
        <v>1</v>
      </c>
      <c r="D150" s="68" t="s">
        <v>1</v>
      </c>
      <c r="E150" s="68" t="s">
        <v>787</v>
      </c>
      <c r="F150" s="68" t="s">
        <v>19</v>
      </c>
      <c r="G150" s="68" t="s">
        <v>832</v>
      </c>
      <c r="H150" s="68" t="s">
        <v>19</v>
      </c>
      <c r="I150" s="68" t="s">
        <v>19</v>
      </c>
      <c r="J150" s="68" t="s">
        <v>19</v>
      </c>
      <c r="K150" s="68" t="s">
        <v>19</v>
      </c>
    </row>
    <row r="151" spans="2:12">
      <c r="B151" s="64"/>
      <c r="C151" s="170"/>
      <c r="D151" s="2"/>
      <c r="E151" s="2"/>
      <c r="F151" s="2"/>
      <c r="G151" s="2"/>
      <c r="H151" s="2"/>
      <c r="I151" s="2"/>
      <c r="J151" s="2"/>
      <c r="K151" s="2"/>
    </row>
    <row r="152" spans="2:12">
      <c r="B152" s="158" t="s">
        <v>833</v>
      </c>
      <c r="C152" s="2"/>
      <c r="D152" s="2"/>
      <c r="E152" s="2"/>
      <c r="F152" s="2"/>
      <c r="G152" s="2"/>
      <c r="H152" s="2"/>
      <c r="I152" s="2"/>
      <c r="J152" s="2"/>
      <c r="K152" s="2"/>
    </row>
    <row r="153" spans="2:12" ht="20.100000000000001" customHeight="1">
      <c r="B153" s="506" t="s">
        <v>835</v>
      </c>
      <c r="C153" s="2">
        <f>SUM('Budget Detail FY 2013-20'!L321:L327)</f>
        <v>515218</v>
      </c>
      <c r="D153" s="2">
        <f>SUM('Budget Detail FY 2013-20'!M321:M327)</f>
        <v>812172</v>
      </c>
      <c r="E153" s="2">
        <f>SUM('Budget Detail FY 2013-20'!N321:N327)</f>
        <v>480000</v>
      </c>
      <c r="F153" s="2">
        <f>SUM('Budget Detail FY 2013-20'!O321:O327)</f>
        <v>938512</v>
      </c>
      <c r="G153" s="2">
        <f>SUM('Budget Detail FY 2013-20'!P321:P327)</f>
        <v>483500</v>
      </c>
      <c r="H153" s="2">
        <f>SUM('Budget Detail FY 2013-20'!Q321:Q327)</f>
        <v>453500</v>
      </c>
      <c r="I153" s="2">
        <f>SUM('Budget Detail FY 2013-20'!R321:R327)</f>
        <v>453500</v>
      </c>
      <c r="J153" s="2">
        <f>SUM('Budget Detail FY 2013-20'!S321:S327)</f>
        <v>453500</v>
      </c>
      <c r="K153" s="2">
        <f>SUM('Budget Detail FY 2013-20'!T321:T327)</f>
        <v>453500</v>
      </c>
    </row>
    <row r="154" spans="2:12" ht="20.100000000000001" customHeight="1">
      <c r="B154" s="507" t="s">
        <v>839</v>
      </c>
      <c r="C154" s="2">
        <f>'Budget Detail FY 2013-20'!L328</f>
        <v>3368</v>
      </c>
      <c r="D154" s="2">
        <f>'Budget Detail FY 2013-20'!M328</f>
        <v>3417</v>
      </c>
      <c r="E154" s="2">
        <f>'Budget Detail FY 2013-20'!N328</f>
        <v>3000</v>
      </c>
      <c r="F154" s="2">
        <f>'Budget Detail FY 2013-20'!O328</f>
        <v>2050</v>
      </c>
      <c r="G154" s="2">
        <f>'Budget Detail FY 2013-20'!P328</f>
        <v>500</v>
      </c>
      <c r="H154" s="2">
        <f>'Budget Detail FY 2013-20'!Q328</f>
        <v>500</v>
      </c>
      <c r="I154" s="2">
        <f>'Budget Detail FY 2013-20'!R328</f>
        <v>500</v>
      </c>
      <c r="J154" s="2">
        <f>'Budget Detail FY 2013-20'!S328</f>
        <v>500</v>
      </c>
      <c r="K154" s="2">
        <f>'Budget Detail FY 2013-20'!T328</f>
        <v>500</v>
      </c>
    </row>
    <row r="155" spans="2:12" ht="20.100000000000001" customHeight="1">
      <c r="B155" s="507" t="s">
        <v>840</v>
      </c>
      <c r="C155" s="2">
        <f>SUM('Budget Detail FY 2013-20'!L329:L329)</f>
        <v>257</v>
      </c>
      <c r="D155" s="2">
        <f>SUM('Budget Detail FY 2013-20'!M329:M329)</f>
        <v>110</v>
      </c>
      <c r="E155" s="2">
        <f>SUM('Budget Detail FY 2013-20'!N329:N329)</f>
        <v>0</v>
      </c>
      <c r="F155" s="2">
        <f>SUM('Budget Detail FY 2013-20'!O329:O329)</f>
        <v>0</v>
      </c>
      <c r="G155" s="2">
        <f>SUM('Budget Detail FY 2013-20'!P329:P329)</f>
        <v>0</v>
      </c>
      <c r="H155" s="2">
        <f>SUM('Budget Detail FY 2013-20'!Q329:Q329)</f>
        <v>0</v>
      </c>
      <c r="I155" s="2">
        <f>SUM('Budget Detail FY 2013-20'!R329:R329)</f>
        <v>0</v>
      </c>
      <c r="J155" s="2">
        <f>SUM('Budget Detail FY 2013-20'!S329:S329)</f>
        <v>0</v>
      </c>
      <c r="K155" s="2">
        <f>SUM('Budget Detail FY 2013-20'!T329:T329)</f>
        <v>0</v>
      </c>
    </row>
    <row r="156" spans="2:12" ht="20.100000000000001" customHeight="1">
      <c r="B156" s="507" t="s">
        <v>842</v>
      </c>
      <c r="C156" s="2">
        <f>'Budget Detail FY 2013-20'!L330+'Budget Detail FY 2013-20'!L331</f>
        <v>0</v>
      </c>
      <c r="D156" s="2">
        <f>'Budget Detail FY 2013-20'!M330+'Budget Detail FY 2013-20'!M331</f>
        <v>0</v>
      </c>
      <c r="E156" s="2">
        <f>'Budget Detail FY 2013-20'!N330+'Budget Detail FY 2013-20'!N331</f>
        <v>0</v>
      </c>
      <c r="F156" s="2">
        <f>'Budget Detail FY 2013-20'!O330+'Budget Detail FY 2013-20'!O331</f>
        <v>7149</v>
      </c>
      <c r="G156" s="2">
        <f>'Budget Detail FY 2013-20'!P330+'Budget Detail FY 2013-20'!P331</f>
        <v>0</v>
      </c>
      <c r="H156" s="2">
        <f>'Budget Detail FY 2013-20'!Q330+'Budget Detail FY 2013-20'!Q331</f>
        <v>0</v>
      </c>
      <c r="I156" s="2">
        <f>'Budget Detail FY 2013-20'!R330+'Budget Detail FY 2013-20'!R331</f>
        <v>0</v>
      </c>
      <c r="J156" s="2">
        <f>'Budget Detail FY 2013-20'!S330+'Budget Detail FY 2013-20'!S331</f>
        <v>0</v>
      </c>
      <c r="K156" s="2">
        <f>'Budget Detail FY 2013-20'!T330+'Budget Detail FY 2013-20'!T331</f>
        <v>0</v>
      </c>
    </row>
    <row r="157" spans="2:12" ht="20.100000000000001" customHeight="1" thickBot="1">
      <c r="B157" s="153" t="s">
        <v>843</v>
      </c>
      <c r="C157" s="150">
        <f>SUM(C153:C156)</f>
        <v>518843</v>
      </c>
      <c r="D157" s="150">
        <f t="shared" ref="D157:K157" si="24">SUM(D153:D156)</f>
        <v>815699</v>
      </c>
      <c r="E157" s="150">
        <f t="shared" si="24"/>
        <v>483000</v>
      </c>
      <c r="F157" s="150">
        <f t="shared" si="24"/>
        <v>947711</v>
      </c>
      <c r="G157" s="150">
        <f t="shared" si="24"/>
        <v>484000</v>
      </c>
      <c r="H157" s="150">
        <f t="shared" si="24"/>
        <v>454000</v>
      </c>
      <c r="I157" s="150">
        <f t="shared" si="24"/>
        <v>454000</v>
      </c>
      <c r="J157" s="150">
        <f t="shared" si="24"/>
        <v>454000</v>
      </c>
      <c r="K157" s="150">
        <f t="shared" si="24"/>
        <v>454000</v>
      </c>
    </row>
    <row r="158" spans="2:12" s="569" customFormat="1" hidden="1">
      <c r="B158" s="155"/>
      <c r="C158" s="132">
        <f>'Budget Detail FY 2013-20'!L333</f>
        <v>518843</v>
      </c>
      <c r="D158" s="132">
        <f>'Budget Detail FY 2013-20'!M333</f>
        <v>815699</v>
      </c>
      <c r="E158" s="132">
        <f>'Budget Detail FY 2013-20'!N333</f>
        <v>483000</v>
      </c>
      <c r="F158" s="132">
        <f>'Budget Detail FY 2013-20'!O333</f>
        <v>947711</v>
      </c>
      <c r="G158" s="132">
        <f>'Budget Detail FY 2013-20'!P333</f>
        <v>484000</v>
      </c>
      <c r="H158" s="132">
        <f>'Budget Detail FY 2013-20'!Q333</f>
        <v>454000</v>
      </c>
      <c r="I158" s="132">
        <f>'Budget Detail FY 2013-20'!R333</f>
        <v>454000</v>
      </c>
      <c r="J158" s="132">
        <f>'Budget Detail FY 2013-20'!S333</f>
        <v>454000</v>
      </c>
      <c r="K158" s="132">
        <f>'Budget Detail FY 2013-20'!T333</f>
        <v>454000</v>
      </c>
      <c r="L158" s="571" t="s">
        <v>1150</v>
      </c>
    </row>
    <row r="159" spans="2:12" s="570" customFormat="1" hidden="1">
      <c r="B159" s="157"/>
      <c r="C159" s="133">
        <f>C157-C158</f>
        <v>0</v>
      </c>
      <c r="D159" s="133">
        <f t="shared" ref="D159:K159" si="25">D157-D158</f>
        <v>0</v>
      </c>
      <c r="E159" s="133">
        <f t="shared" si="25"/>
        <v>0</v>
      </c>
      <c r="F159" s="133">
        <f t="shared" si="25"/>
        <v>0</v>
      </c>
      <c r="G159" s="133">
        <f t="shared" si="25"/>
        <v>0</v>
      </c>
      <c r="H159" s="133">
        <f t="shared" si="25"/>
        <v>0</v>
      </c>
      <c r="I159" s="133">
        <f t="shared" si="25"/>
        <v>0</v>
      </c>
      <c r="J159" s="133">
        <f t="shared" si="25"/>
        <v>0</v>
      </c>
      <c r="K159" s="133">
        <f t="shared" si="25"/>
        <v>0</v>
      </c>
      <c r="L159" s="571" t="s">
        <v>1151</v>
      </c>
    </row>
    <row r="160" spans="2:12" ht="7.5" customHeight="1">
      <c r="B160" s="1"/>
      <c r="C160" s="2"/>
      <c r="D160" s="2"/>
      <c r="E160" s="2"/>
      <c r="F160" s="2"/>
      <c r="G160" s="2"/>
      <c r="H160" s="2"/>
      <c r="I160" s="2"/>
      <c r="J160" s="2"/>
      <c r="K160" s="2"/>
    </row>
    <row r="161" spans="2:12">
      <c r="B161" s="158" t="s">
        <v>598</v>
      </c>
      <c r="C161" s="2"/>
      <c r="D161" s="2"/>
      <c r="E161" s="2"/>
      <c r="F161" s="2"/>
      <c r="G161" s="2"/>
      <c r="H161" s="2"/>
      <c r="I161" s="2"/>
      <c r="J161" s="2"/>
      <c r="K161" s="2"/>
    </row>
    <row r="162" spans="2:12" ht="20.100000000000001" customHeight="1">
      <c r="B162" s="508" t="s">
        <v>846</v>
      </c>
      <c r="C162" s="2">
        <f>SUM('Budget Detail FY 2013-20'!L335:L337)</f>
        <v>7500</v>
      </c>
      <c r="D162" s="2">
        <f>SUM('Budget Detail FY 2013-20'!M335:M337)</f>
        <v>7750</v>
      </c>
      <c r="E162" s="2">
        <f>SUM('Budget Detail FY 2013-20'!N335:N337)</f>
        <v>111000</v>
      </c>
      <c r="F162" s="2">
        <f>SUM('Budget Detail FY 2013-20'!O335:O337)</f>
        <v>136874</v>
      </c>
      <c r="G162" s="2">
        <f>SUM('Budget Detail FY 2013-20'!P335:P337)</f>
        <v>117210</v>
      </c>
      <c r="H162" s="2">
        <f>SUM('Budget Detail FY 2013-20'!Q335:Q337)</f>
        <v>123793</v>
      </c>
      <c r="I162" s="2">
        <f>SUM('Budget Detail FY 2013-20'!R335:R337)</f>
        <v>130771</v>
      </c>
      <c r="J162" s="2">
        <f>SUM('Budget Detail FY 2013-20'!S335:S337)</f>
        <v>130667</v>
      </c>
      <c r="K162" s="2">
        <f>SUM('Budget Detail FY 2013-20'!T335:T337)</f>
        <v>138507</v>
      </c>
    </row>
    <row r="163" spans="2:12" ht="20.100000000000001" customHeight="1">
      <c r="B163" s="508" t="s">
        <v>847</v>
      </c>
      <c r="C163" s="2">
        <f>SUM('Budget Detail FY 2013-20'!L338:L342)</f>
        <v>142773</v>
      </c>
      <c r="D163" s="2">
        <f>SUM('Budget Detail FY 2013-20'!M338:M342)</f>
        <v>107617</v>
      </c>
      <c r="E163" s="2">
        <f>SUM('Budget Detail FY 2013-20'!N338:N342)</f>
        <v>178712</v>
      </c>
      <c r="F163" s="2">
        <f>SUM('Budget Detail FY 2013-20'!O338:O342)</f>
        <v>178712</v>
      </c>
      <c r="G163" s="2">
        <f>SUM('Budget Detail FY 2013-20'!P338:P342)</f>
        <v>203000</v>
      </c>
      <c r="H163" s="2">
        <f>SUM('Budget Detail FY 2013-20'!Q338:Q342)</f>
        <v>203000</v>
      </c>
      <c r="I163" s="2">
        <f>SUM('Budget Detail FY 2013-20'!R338:R342)</f>
        <v>203000</v>
      </c>
      <c r="J163" s="2">
        <f>SUM('Budget Detail FY 2013-20'!S338:S342)</f>
        <v>203000</v>
      </c>
      <c r="K163" s="2">
        <f>SUM('Budget Detail FY 2013-20'!T338:T342)</f>
        <v>203000</v>
      </c>
    </row>
    <row r="164" spans="2:12" ht="20.100000000000001" customHeight="1">
      <c r="B164" s="508" t="s">
        <v>848</v>
      </c>
      <c r="C164" s="2">
        <f>SUM('Budget Detail FY 2013-20'!L343:L349)</f>
        <v>130923</v>
      </c>
      <c r="D164" s="2">
        <f>SUM('Budget Detail FY 2013-20'!M343:M349)</f>
        <v>832384</v>
      </c>
      <c r="E164" s="2">
        <f>SUM('Budget Detail FY 2013-20'!N343:N349)</f>
        <v>573787</v>
      </c>
      <c r="F164" s="2">
        <f>SUM('Budget Detail FY 2013-20'!O343:O349)</f>
        <v>685428</v>
      </c>
      <c r="G164" s="2">
        <f>SUM('Budget Detail FY 2013-20'!P343:P349)</f>
        <v>551287</v>
      </c>
      <c r="H164" s="2">
        <f>SUM('Budget Detail FY 2013-20'!Q343:Q349)</f>
        <v>373787</v>
      </c>
      <c r="I164" s="2">
        <f>SUM('Budget Detail FY 2013-20'!R343:R349)</f>
        <v>273787</v>
      </c>
      <c r="J164" s="2">
        <f>SUM('Budget Detail FY 2013-20'!S343:S349)</f>
        <v>273787</v>
      </c>
      <c r="K164" s="2">
        <f>SUM('Budget Detail FY 2013-20'!T343:T349)</f>
        <v>148557</v>
      </c>
    </row>
    <row r="165" spans="2:12" ht="20.100000000000001" customHeight="1" thickBot="1">
      <c r="B165" s="153" t="s">
        <v>851</v>
      </c>
      <c r="C165" s="150">
        <f t="shared" ref="C165:K165" si="26">SUM(C162:C164)</f>
        <v>281196</v>
      </c>
      <c r="D165" s="150">
        <f t="shared" si="26"/>
        <v>947751</v>
      </c>
      <c r="E165" s="150">
        <f t="shared" si="26"/>
        <v>863499</v>
      </c>
      <c r="F165" s="150">
        <f t="shared" si="26"/>
        <v>1001014</v>
      </c>
      <c r="G165" s="150">
        <f t="shared" si="26"/>
        <v>871497</v>
      </c>
      <c r="H165" s="150">
        <f t="shared" si="26"/>
        <v>700580</v>
      </c>
      <c r="I165" s="150">
        <f t="shared" si="26"/>
        <v>607558</v>
      </c>
      <c r="J165" s="150">
        <f t="shared" si="26"/>
        <v>607454</v>
      </c>
      <c r="K165" s="150">
        <f t="shared" si="26"/>
        <v>490064</v>
      </c>
    </row>
    <row r="166" spans="2:12" s="569" customFormat="1" hidden="1">
      <c r="B166" s="155"/>
      <c r="C166" s="132">
        <f>'Budget Detail FY 2013-20'!L351</f>
        <v>281196</v>
      </c>
      <c r="D166" s="132">
        <f>'Budget Detail FY 2013-20'!M351</f>
        <v>947751</v>
      </c>
      <c r="E166" s="132">
        <f>'Budget Detail FY 2013-20'!N351</f>
        <v>863499</v>
      </c>
      <c r="F166" s="132">
        <f>'Budget Detail FY 2013-20'!O351</f>
        <v>1001014</v>
      </c>
      <c r="G166" s="132">
        <f>'Budget Detail FY 2013-20'!P351</f>
        <v>871497</v>
      </c>
      <c r="H166" s="132">
        <f>'Budget Detail FY 2013-20'!Q351</f>
        <v>700580</v>
      </c>
      <c r="I166" s="132">
        <f>'Budget Detail FY 2013-20'!R351</f>
        <v>607558</v>
      </c>
      <c r="J166" s="132">
        <f>'Budget Detail FY 2013-20'!S351</f>
        <v>607454</v>
      </c>
      <c r="K166" s="132">
        <f>'Budget Detail FY 2013-20'!T351</f>
        <v>490064</v>
      </c>
      <c r="L166" s="571" t="s">
        <v>1150</v>
      </c>
    </row>
    <row r="167" spans="2:12" s="570" customFormat="1" hidden="1">
      <c r="B167" s="157"/>
      <c r="C167" s="133">
        <f>C165-C166</f>
        <v>0</v>
      </c>
      <c r="D167" s="133">
        <f t="shared" ref="D167:K167" si="27">D165-D166</f>
        <v>0</v>
      </c>
      <c r="E167" s="133">
        <f t="shared" si="27"/>
        <v>0</v>
      </c>
      <c r="F167" s="133">
        <f t="shared" si="27"/>
        <v>0</v>
      </c>
      <c r="G167" s="133">
        <f t="shared" si="27"/>
        <v>0</v>
      </c>
      <c r="H167" s="133">
        <f t="shared" si="27"/>
        <v>0</v>
      </c>
      <c r="I167" s="133">
        <f t="shared" si="27"/>
        <v>0</v>
      </c>
      <c r="J167" s="133">
        <f t="shared" si="27"/>
        <v>0</v>
      </c>
      <c r="K167" s="133">
        <f t="shared" si="27"/>
        <v>0</v>
      </c>
      <c r="L167" s="571" t="s">
        <v>1151</v>
      </c>
    </row>
    <row r="168" spans="2:12" ht="7.5" customHeight="1">
      <c r="B168" s="160"/>
      <c r="C168" s="3"/>
      <c r="D168" s="2"/>
      <c r="E168" s="2"/>
      <c r="F168" s="2"/>
      <c r="G168" s="2"/>
      <c r="H168" s="2"/>
      <c r="I168" s="2"/>
      <c r="J168" s="2"/>
      <c r="K168" s="2"/>
    </row>
    <row r="169" spans="2:12" ht="20.100000000000001" customHeight="1">
      <c r="B169" s="510" t="s">
        <v>852</v>
      </c>
      <c r="C169" s="3">
        <f t="shared" ref="C169:K169" si="28">+C157-C165</f>
        <v>237647</v>
      </c>
      <c r="D169" s="3">
        <f t="shared" si="28"/>
        <v>-132052</v>
      </c>
      <c r="E169" s="3">
        <f t="shared" si="28"/>
        <v>-380499</v>
      </c>
      <c r="F169" s="3">
        <f t="shared" si="28"/>
        <v>-53303</v>
      </c>
      <c r="G169" s="3">
        <f t="shared" si="28"/>
        <v>-387497</v>
      </c>
      <c r="H169" s="3">
        <f t="shared" si="28"/>
        <v>-246580</v>
      </c>
      <c r="I169" s="3">
        <f t="shared" si="28"/>
        <v>-153558</v>
      </c>
      <c r="J169" s="3">
        <f t="shared" si="28"/>
        <v>-153454</v>
      </c>
      <c r="K169" s="3">
        <f t="shared" si="28"/>
        <v>-36064</v>
      </c>
    </row>
    <row r="170" spans="2:12" s="569" customFormat="1" hidden="1">
      <c r="B170" s="161"/>
      <c r="C170" s="132">
        <f>'Budget Detail FY 2013-20'!L353</f>
        <v>237647</v>
      </c>
      <c r="D170" s="132">
        <f>'Budget Detail FY 2013-20'!M353</f>
        <v>-132052</v>
      </c>
      <c r="E170" s="132">
        <f>'Budget Detail FY 2013-20'!N353</f>
        <v>-380499</v>
      </c>
      <c r="F170" s="132">
        <f>'Budget Detail FY 2013-20'!O353</f>
        <v>-53303</v>
      </c>
      <c r="G170" s="132">
        <f>'Budget Detail FY 2013-20'!P353</f>
        <v>-387497</v>
      </c>
      <c r="H170" s="132">
        <f>'Budget Detail FY 2013-20'!Q353</f>
        <v>-246580</v>
      </c>
      <c r="I170" s="132">
        <f>'Budget Detail FY 2013-20'!R353</f>
        <v>-153558</v>
      </c>
      <c r="J170" s="132">
        <f>'Budget Detail FY 2013-20'!S353</f>
        <v>-153454</v>
      </c>
      <c r="K170" s="132">
        <f>'Budget Detail FY 2013-20'!T353</f>
        <v>-36064</v>
      </c>
      <c r="L170" s="571" t="s">
        <v>1150</v>
      </c>
    </row>
    <row r="171" spans="2:12" s="570" customFormat="1" hidden="1">
      <c r="B171" s="162"/>
      <c r="C171" s="171">
        <f>C169-C170</f>
        <v>0</v>
      </c>
      <c r="D171" s="171">
        <f t="shared" ref="D171:K171" si="29">D169-D170</f>
        <v>0</v>
      </c>
      <c r="E171" s="171">
        <f t="shared" si="29"/>
        <v>0</v>
      </c>
      <c r="F171" s="171">
        <f t="shared" si="29"/>
        <v>0</v>
      </c>
      <c r="G171" s="171">
        <f t="shared" si="29"/>
        <v>0</v>
      </c>
      <c r="H171" s="171">
        <f t="shared" si="29"/>
        <v>0</v>
      </c>
      <c r="I171" s="171">
        <f t="shared" si="29"/>
        <v>0</v>
      </c>
      <c r="J171" s="171">
        <f t="shared" si="29"/>
        <v>0</v>
      </c>
      <c r="K171" s="171">
        <f t="shared" si="29"/>
        <v>0</v>
      </c>
      <c r="L171" s="571" t="s">
        <v>1151</v>
      </c>
    </row>
    <row r="172" spans="2:12" ht="7.5" customHeight="1">
      <c r="B172" s="164"/>
      <c r="C172" s="3"/>
      <c r="D172" s="2"/>
      <c r="E172" s="2"/>
      <c r="F172" s="2"/>
      <c r="G172" s="2"/>
      <c r="H172" s="2"/>
      <c r="I172" s="2"/>
      <c r="J172" s="2"/>
      <c r="K172" s="2"/>
    </row>
    <row r="173" spans="2:12" ht="20.100000000000001" customHeight="1" thickBot="1">
      <c r="B173" s="152" t="s">
        <v>853</v>
      </c>
      <c r="C173" s="83">
        <v>1162506</v>
      </c>
      <c r="D173" s="83">
        <v>1030456</v>
      </c>
      <c r="E173" s="83">
        <v>620347</v>
      </c>
      <c r="F173" s="83">
        <f>D173+F169</f>
        <v>977153</v>
      </c>
      <c r="G173" s="83">
        <f>F173+G169</f>
        <v>589656</v>
      </c>
      <c r="H173" s="83">
        <f>G173+H169</f>
        <v>343076</v>
      </c>
      <c r="I173" s="83">
        <f>H173+I169</f>
        <v>189518</v>
      </c>
      <c r="J173" s="83">
        <f>I173+J169</f>
        <v>36064</v>
      </c>
      <c r="K173" s="83">
        <f>J173+K169</f>
        <v>0</v>
      </c>
    </row>
    <row r="174" spans="2:12" s="569" customFormat="1" ht="15.75" hidden="1" customHeight="1" thickTop="1">
      <c r="B174" s="155"/>
      <c r="C174" s="132">
        <f>'Budget Detail FY 2013-20'!L355</f>
        <v>1162506</v>
      </c>
      <c r="D174" s="132">
        <f>'Budget Detail FY 2013-20'!M355</f>
        <v>1030456</v>
      </c>
      <c r="E174" s="132">
        <f>'Budget Detail FY 2013-20'!N355</f>
        <v>620347</v>
      </c>
      <c r="F174" s="132">
        <f>'Budget Detail FY 2013-20'!O355</f>
        <v>977153</v>
      </c>
      <c r="G174" s="132">
        <f>'Budget Detail FY 2013-20'!P355</f>
        <v>589656</v>
      </c>
      <c r="H174" s="132">
        <f>'Budget Detail FY 2013-20'!Q355</f>
        <v>343076</v>
      </c>
      <c r="I174" s="132">
        <f>'Budget Detail FY 2013-20'!R355</f>
        <v>189518</v>
      </c>
      <c r="J174" s="132">
        <f>'Budget Detail FY 2013-20'!S355</f>
        <v>36064</v>
      </c>
      <c r="K174" s="132">
        <f>'Budget Detail FY 2013-20'!T355</f>
        <v>0</v>
      </c>
      <c r="L174" s="571" t="s">
        <v>1150</v>
      </c>
    </row>
    <row r="175" spans="2:12" s="570" customFormat="1" ht="15" hidden="1" customHeight="1">
      <c r="B175" s="157"/>
      <c r="C175" s="133">
        <f>C173-C174</f>
        <v>0</v>
      </c>
      <c r="D175" s="133">
        <f t="shared" ref="D175:K175" si="30">D173-D174</f>
        <v>0</v>
      </c>
      <c r="E175" s="133">
        <f t="shared" si="30"/>
        <v>0</v>
      </c>
      <c r="F175" s="133">
        <f t="shared" si="30"/>
        <v>0</v>
      </c>
      <c r="G175" s="133">
        <f t="shared" si="30"/>
        <v>0</v>
      </c>
      <c r="H175" s="133">
        <f t="shared" si="30"/>
        <v>0</v>
      </c>
      <c r="I175" s="133">
        <f t="shared" si="30"/>
        <v>0</v>
      </c>
      <c r="J175" s="133">
        <f t="shared" si="30"/>
        <v>0</v>
      </c>
      <c r="K175" s="133">
        <f t="shared" si="30"/>
        <v>0</v>
      </c>
      <c r="L175" s="571" t="s">
        <v>1151</v>
      </c>
    </row>
    <row r="176" spans="2:12" ht="15.75" thickTop="1">
      <c r="B176" s="165"/>
      <c r="C176" s="172"/>
      <c r="D176" s="172"/>
      <c r="E176" s="172"/>
      <c r="F176" s="172"/>
      <c r="G176" s="172"/>
      <c r="H176" s="172"/>
      <c r="I176" s="172"/>
      <c r="J176" s="172"/>
      <c r="K176" s="172"/>
    </row>
    <row r="177" spans="2:11">
      <c r="B177" s="1"/>
      <c r="C177" s="2"/>
      <c r="D177" s="2"/>
      <c r="E177" s="2"/>
      <c r="F177" s="2"/>
      <c r="G177" s="2"/>
      <c r="H177" s="2"/>
      <c r="I177" s="2"/>
      <c r="J177" s="2"/>
      <c r="K177" s="2"/>
    </row>
    <row r="178" spans="2:11">
      <c r="B178" s="1"/>
      <c r="C178" s="2"/>
      <c r="D178" s="2"/>
      <c r="E178" s="2"/>
      <c r="F178" s="2"/>
      <c r="G178" s="2"/>
      <c r="H178" s="2"/>
      <c r="I178" s="2"/>
      <c r="J178" s="2"/>
      <c r="K178" s="2"/>
    </row>
    <row r="179" spans="2:11">
      <c r="B179" s="1"/>
      <c r="C179" s="2"/>
      <c r="D179" s="2"/>
      <c r="E179" s="2"/>
      <c r="F179" s="2"/>
      <c r="G179" s="2"/>
      <c r="H179" s="2"/>
      <c r="I179" s="2"/>
      <c r="J179" s="2"/>
      <c r="K179" s="2"/>
    </row>
    <row r="180" spans="2:11">
      <c r="B180" s="1"/>
      <c r="C180" s="2"/>
      <c r="D180" s="2"/>
      <c r="E180" s="2"/>
      <c r="F180" s="2"/>
      <c r="G180" s="2"/>
      <c r="H180" s="2"/>
      <c r="I180" s="2"/>
      <c r="J180" s="2"/>
      <c r="K180" s="2"/>
    </row>
    <row r="181" spans="2:11">
      <c r="B181" s="1"/>
      <c r="C181" s="2"/>
      <c r="D181" s="2"/>
      <c r="E181" s="2"/>
      <c r="F181" s="2"/>
      <c r="G181" s="2"/>
      <c r="H181" s="2"/>
      <c r="I181" s="2"/>
      <c r="J181" s="2"/>
      <c r="K181" s="2"/>
    </row>
    <row r="182" spans="2:11">
      <c r="B182" s="1"/>
      <c r="C182" s="2"/>
      <c r="D182" s="2"/>
      <c r="E182" s="2"/>
      <c r="F182" s="2"/>
      <c r="G182" s="2"/>
      <c r="H182" s="2"/>
      <c r="I182" s="2"/>
      <c r="J182" s="2"/>
      <c r="K182" s="2"/>
    </row>
    <row r="183" spans="2:11">
      <c r="B183" s="1"/>
      <c r="C183" s="2"/>
      <c r="D183" s="2"/>
      <c r="E183" s="2"/>
      <c r="F183" s="2"/>
      <c r="G183" s="2"/>
      <c r="H183" s="2"/>
      <c r="I183" s="2"/>
      <c r="J183" s="2"/>
      <c r="K183" s="2"/>
    </row>
    <row r="184" spans="2:11">
      <c r="B184" s="1"/>
      <c r="C184" s="2"/>
      <c r="D184" s="2"/>
      <c r="E184" s="2"/>
      <c r="F184" s="2"/>
      <c r="G184" s="2"/>
      <c r="H184" s="2"/>
      <c r="I184" s="2"/>
      <c r="J184" s="2"/>
      <c r="K184" s="2"/>
    </row>
    <row r="185" spans="2:11">
      <c r="B185" s="1"/>
      <c r="C185" s="2"/>
      <c r="D185" s="2"/>
      <c r="E185" s="2"/>
      <c r="F185" s="2"/>
      <c r="G185" s="2"/>
      <c r="H185" s="2"/>
      <c r="I185" s="2"/>
      <c r="J185" s="2"/>
      <c r="K185" s="2"/>
    </row>
    <row r="186" spans="2:11">
      <c r="B186" s="1"/>
      <c r="C186" s="2"/>
      <c r="D186" s="2"/>
      <c r="E186" s="2"/>
      <c r="F186" s="2"/>
      <c r="G186" s="2"/>
      <c r="H186" s="2"/>
      <c r="I186" s="2"/>
      <c r="J186" s="2"/>
      <c r="K186" s="2"/>
    </row>
    <row r="187" spans="2:11">
      <c r="B187" s="1"/>
      <c r="C187" s="2"/>
      <c r="D187" s="2"/>
      <c r="E187" s="2"/>
      <c r="F187" s="2"/>
      <c r="G187" s="2"/>
      <c r="H187" s="2"/>
      <c r="I187" s="2"/>
      <c r="J187" s="2"/>
      <c r="K187" s="2"/>
    </row>
    <row r="190" spans="2:11" ht="18.75" customHeight="1">
      <c r="B190" s="740" t="s">
        <v>859</v>
      </c>
      <c r="C190" s="740"/>
      <c r="D190" s="740"/>
      <c r="E190" s="740"/>
      <c r="F190" s="740"/>
      <c r="G190" s="740"/>
      <c r="H190" s="740"/>
      <c r="I190" s="740"/>
      <c r="J190" s="740"/>
      <c r="K190" s="740"/>
    </row>
    <row r="191" spans="2:11">
      <c r="B191" s="65"/>
      <c r="C191" s="3"/>
      <c r="D191" s="2"/>
      <c r="E191" s="2"/>
      <c r="F191" s="2"/>
      <c r="G191" s="2"/>
      <c r="H191" s="2"/>
      <c r="I191" s="2"/>
      <c r="J191" s="2"/>
      <c r="K191" s="2"/>
    </row>
    <row r="192" spans="2:11" ht="15" customHeight="1">
      <c r="B192" s="731" t="s">
        <v>1227</v>
      </c>
      <c r="C192" s="731"/>
      <c r="D192" s="731"/>
      <c r="E192" s="731"/>
      <c r="F192" s="731"/>
      <c r="G192" s="731"/>
      <c r="H192" s="731"/>
      <c r="I192" s="731"/>
      <c r="J192" s="731"/>
      <c r="K192" s="731"/>
    </row>
    <row r="193" spans="2:12" ht="15" customHeight="1">
      <c r="B193" s="731"/>
      <c r="C193" s="731"/>
      <c r="D193" s="731"/>
      <c r="E193" s="731"/>
      <c r="F193" s="731"/>
      <c r="G193" s="731"/>
      <c r="H193" s="731"/>
      <c r="I193" s="731"/>
      <c r="J193" s="731"/>
      <c r="K193" s="731"/>
    </row>
    <row r="194" spans="2:12">
      <c r="B194" s="563"/>
      <c r="C194" s="22"/>
      <c r="D194" s="22"/>
      <c r="E194" s="22"/>
      <c r="F194" s="22"/>
      <c r="G194" s="22"/>
      <c r="H194" s="2"/>
      <c r="I194" s="2"/>
      <c r="J194" s="2"/>
      <c r="K194" s="2"/>
    </row>
    <row r="195" spans="2:12">
      <c r="B195" s="5"/>
      <c r="C195" s="65"/>
      <c r="D195" s="66"/>
      <c r="E195" s="65" t="s">
        <v>270</v>
      </c>
      <c r="F195" s="1"/>
      <c r="G195" s="1"/>
      <c r="H195" s="1"/>
      <c r="I195" s="1"/>
      <c r="J195" s="1"/>
      <c r="K195" s="1"/>
    </row>
    <row r="196" spans="2:12">
      <c r="B196" s="66"/>
      <c r="C196" s="65" t="s">
        <v>257</v>
      </c>
      <c r="D196" s="49" t="s">
        <v>258</v>
      </c>
      <c r="E196" s="66" t="s">
        <v>832</v>
      </c>
      <c r="F196" s="66" t="s">
        <v>270</v>
      </c>
      <c r="G196" s="66" t="s">
        <v>271</v>
      </c>
      <c r="H196" s="66" t="s">
        <v>272</v>
      </c>
      <c r="I196" s="66" t="s">
        <v>996</v>
      </c>
      <c r="J196" s="66" t="s">
        <v>1101</v>
      </c>
      <c r="K196" s="66" t="s">
        <v>1136</v>
      </c>
    </row>
    <row r="197" spans="2:12" ht="15.75" thickBot="1">
      <c r="B197" s="169"/>
      <c r="C197" s="68" t="s">
        <v>1</v>
      </c>
      <c r="D197" s="68" t="s">
        <v>1</v>
      </c>
      <c r="E197" s="68" t="s">
        <v>787</v>
      </c>
      <c r="F197" s="68" t="s">
        <v>19</v>
      </c>
      <c r="G197" s="68" t="s">
        <v>832</v>
      </c>
      <c r="H197" s="68" t="s">
        <v>19</v>
      </c>
      <c r="I197" s="68" t="s">
        <v>19</v>
      </c>
      <c r="J197" s="68" t="s">
        <v>19</v>
      </c>
      <c r="K197" s="68" t="s">
        <v>19</v>
      </c>
    </row>
    <row r="198" spans="2:12">
      <c r="B198" s="64"/>
      <c r="C198" s="170"/>
      <c r="D198" s="2"/>
      <c r="E198" s="2"/>
      <c r="F198" s="2"/>
      <c r="G198" s="2"/>
      <c r="H198" s="2"/>
      <c r="I198" s="2"/>
      <c r="J198" s="2"/>
      <c r="K198" s="2"/>
    </row>
    <row r="199" spans="2:12">
      <c r="B199" s="158" t="s">
        <v>833</v>
      </c>
      <c r="C199" s="2"/>
      <c r="D199" s="2"/>
      <c r="E199" s="2"/>
      <c r="F199" s="2"/>
      <c r="G199" s="2"/>
      <c r="H199" s="2"/>
      <c r="I199" s="2"/>
      <c r="J199" s="2"/>
      <c r="K199" s="2"/>
    </row>
    <row r="200" spans="2:12" ht="20.100000000000001" customHeight="1">
      <c r="B200" s="507" t="s">
        <v>836</v>
      </c>
      <c r="C200" s="2">
        <f>SUM('Budget Detail FY 2013-20'!L359:L360)</f>
        <v>12859</v>
      </c>
      <c r="D200" s="2">
        <f>SUM('Budget Detail FY 2013-20'!M359:M360)</f>
        <v>3930</v>
      </c>
      <c r="E200" s="2">
        <f>SUM('Budget Detail FY 2013-20'!N359:N360)</f>
        <v>0</v>
      </c>
      <c r="F200" s="2">
        <f>SUM('Budget Detail FY 2013-20'!O359:O360)</f>
        <v>0</v>
      </c>
      <c r="G200" s="2">
        <f>SUM('Budget Detail FY 2013-20'!P359:P360)</f>
        <v>0</v>
      </c>
      <c r="H200" s="2">
        <f>SUM('Budget Detail FY 2013-20'!Q359:Q360)</f>
        <v>0</v>
      </c>
      <c r="I200" s="2">
        <f>SUM('Budget Detail FY 2013-20'!R359:R360)</f>
        <v>0</v>
      </c>
      <c r="J200" s="2">
        <f>SUM('Budget Detail FY 2013-20'!S359:S360)</f>
        <v>0</v>
      </c>
      <c r="K200" s="2">
        <f>SUM('Budget Detail FY 2013-20'!T359:T360)</f>
        <v>0</v>
      </c>
    </row>
    <row r="201" spans="2:12" ht="20.100000000000001" customHeight="1">
      <c r="B201" s="507" t="s">
        <v>842</v>
      </c>
      <c r="C201" s="2">
        <f>'Budget Detail FY 2013-20'!L361</f>
        <v>0</v>
      </c>
      <c r="D201" s="2">
        <f>'Budget Detail FY 2013-20'!M361</f>
        <v>571615</v>
      </c>
      <c r="E201" s="2">
        <f>'Budget Detail FY 2013-20'!N361</f>
        <v>0</v>
      </c>
      <c r="F201" s="2">
        <f>'Budget Detail FY 2013-20'!O361</f>
        <v>0</v>
      </c>
      <c r="G201" s="2">
        <f>'Budget Detail FY 2013-20'!P361</f>
        <v>0</v>
      </c>
      <c r="H201" s="2">
        <f>'Budget Detail FY 2013-20'!Q361</f>
        <v>0</v>
      </c>
      <c r="I201" s="2">
        <f>'Budget Detail FY 2013-20'!R361</f>
        <v>0</v>
      </c>
      <c r="J201" s="2">
        <f>'Budget Detail FY 2013-20'!S361</f>
        <v>0</v>
      </c>
      <c r="K201" s="2">
        <f>'Budget Detail FY 2013-20'!T361</f>
        <v>0</v>
      </c>
    </row>
    <row r="202" spans="2:12" ht="20.100000000000001" customHeight="1" thickBot="1">
      <c r="B202" s="153" t="s">
        <v>843</v>
      </c>
      <c r="C202" s="150">
        <f>SUM(C200:C201)</f>
        <v>12859</v>
      </c>
      <c r="D202" s="150">
        <f t="shared" ref="D202:K202" si="31">SUM(D200:D201)</f>
        <v>575545</v>
      </c>
      <c r="E202" s="150">
        <f t="shared" si="31"/>
        <v>0</v>
      </c>
      <c r="F202" s="150">
        <f t="shared" si="31"/>
        <v>0</v>
      </c>
      <c r="G202" s="150">
        <f t="shared" si="31"/>
        <v>0</v>
      </c>
      <c r="H202" s="150">
        <f t="shared" si="31"/>
        <v>0</v>
      </c>
      <c r="I202" s="150">
        <f t="shared" si="31"/>
        <v>0</v>
      </c>
      <c r="J202" s="150">
        <f t="shared" si="31"/>
        <v>0</v>
      </c>
      <c r="K202" s="150">
        <f t="shared" si="31"/>
        <v>0</v>
      </c>
    </row>
    <row r="203" spans="2:12" s="569" customFormat="1" hidden="1">
      <c r="B203" s="155"/>
      <c r="C203" s="132">
        <f>'Budget Detail FY 2013-20'!L363</f>
        <v>12859</v>
      </c>
      <c r="D203" s="132">
        <f>'Budget Detail FY 2013-20'!M363</f>
        <v>575545</v>
      </c>
      <c r="E203" s="132">
        <f>'Budget Detail FY 2013-20'!N363</f>
        <v>0</v>
      </c>
      <c r="F203" s="132">
        <f>'Budget Detail FY 2013-20'!O363</f>
        <v>0</v>
      </c>
      <c r="G203" s="132">
        <f>'Budget Detail FY 2013-20'!P363</f>
        <v>0</v>
      </c>
      <c r="H203" s="132">
        <f>'Budget Detail FY 2013-20'!Q363</f>
        <v>0</v>
      </c>
      <c r="I203" s="132">
        <f>'Budget Detail FY 2013-20'!R363</f>
        <v>0</v>
      </c>
      <c r="J203" s="132">
        <f>'Budget Detail FY 2013-20'!S363</f>
        <v>0</v>
      </c>
      <c r="K203" s="132">
        <f>'Budget Detail FY 2013-20'!T363</f>
        <v>0</v>
      </c>
      <c r="L203" s="571" t="s">
        <v>1150</v>
      </c>
    </row>
    <row r="204" spans="2:12" s="570" customFormat="1" hidden="1">
      <c r="B204" s="157"/>
      <c r="C204" s="133">
        <f>C202-C203</f>
        <v>0</v>
      </c>
      <c r="D204" s="133">
        <f t="shared" ref="D204:K204" si="32">D202-D203</f>
        <v>0</v>
      </c>
      <c r="E204" s="133">
        <f t="shared" si="32"/>
        <v>0</v>
      </c>
      <c r="F204" s="133">
        <f t="shared" si="32"/>
        <v>0</v>
      </c>
      <c r="G204" s="133">
        <f t="shared" si="32"/>
        <v>0</v>
      </c>
      <c r="H204" s="133">
        <f t="shared" si="32"/>
        <v>0</v>
      </c>
      <c r="I204" s="133">
        <f t="shared" si="32"/>
        <v>0</v>
      </c>
      <c r="J204" s="133">
        <f t="shared" si="32"/>
        <v>0</v>
      </c>
      <c r="K204" s="133">
        <f t="shared" si="32"/>
        <v>0</v>
      </c>
      <c r="L204" s="571" t="s">
        <v>1151</v>
      </c>
    </row>
    <row r="205" spans="2:12">
      <c r="B205" s="1"/>
      <c r="C205" s="2"/>
      <c r="D205" s="2"/>
      <c r="E205" s="2"/>
      <c r="F205" s="2"/>
      <c r="G205" s="2"/>
      <c r="H205" s="2"/>
      <c r="I205" s="2"/>
      <c r="J205" s="2"/>
      <c r="K205" s="2"/>
    </row>
    <row r="206" spans="2:12">
      <c r="B206" s="158" t="s">
        <v>598</v>
      </c>
      <c r="C206" s="2"/>
      <c r="D206" s="2"/>
      <c r="E206" s="2"/>
      <c r="F206" s="2"/>
      <c r="G206" s="2"/>
      <c r="H206" s="2"/>
      <c r="I206" s="2"/>
      <c r="J206" s="2"/>
      <c r="K206" s="2"/>
    </row>
    <row r="207" spans="2:12" ht="20.100000000000001" customHeight="1">
      <c r="B207" s="508" t="s">
        <v>846</v>
      </c>
      <c r="C207" s="2">
        <f>'Budget Detail FY 2013-20'!L365</f>
        <v>5100</v>
      </c>
      <c r="D207" s="2">
        <f>'Budget Detail FY 2013-20'!M365</f>
        <v>3930</v>
      </c>
      <c r="E207" s="2">
        <f>'Budget Detail FY 2013-20'!N365</f>
        <v>0</v>
      </c>
      <c r="F207" s="2">
        <f>'Budget Detail FY 2013-20'!O365</f>
        <v>0</v>
      </c>
      <c r="G207" s="2">
        <f>'Budget Detail FY 2013-20'!P365</f>
        <v>0</v>
      </c>
      <c r="H207" s="2">
        <f>'Budget Detail FY 2013-20'!Q365</f>
        <v>0</v>
      </c>
      <c r="I207" s="2">
        <f>'Budget Detail FY 2013-20'!R365</f>
        <v>0</v>
      </c>
      <c r="J207" s="2">
        <f>'Budget Detail FY 2013-20'!S365</f>
        <v>0</v>
      </c>
      <c r="K207" s="2">
        <f>'Budget Detail FY 2013-20'!T365</f>
        <v>0</v>
      </c>
    </row>
    <row r="208" spans="2:12" ht="20.100000000000001" customHeight="1" thickBot="1">
      <c r="B208" s="153" t="s">
        <v>851</v>
      </c>
      <c r="C208" s="150">
        <f t="shared" ref="C208:K208" si="33">SUM(C207:C207)</f>
        <v>5100</v>
      </c>
      <c r="D208" s="150">
        <f t="shared" si="33"/>
        <v>3930</v>
      </c>
      <c r="E208" s="150">
        <f t="shared" si="33"/>
        <v>0</v>
      </c>
      <c r="F208" s="150">
        <f t="shared" si="33"/>
        <v>0</v>
      </c>
      <c r="G208" s="150">
        <f t="shared" si="33"/>
        <v>0</v>
      </c>
      <c r="H208" s="150">
        <f t="shared" si="33"/>
        <v>0</v>
      </c>
      <c r="I208" s="150">
        <f t="shared" si="33"/>
        <v>0</v>
      </c>
      <c r="J208" s="150">
        <f t="shared" si="33"/>
        <v>0</v>
      </c>
      <c r="K208" s="150">
        <f t="shared" si="33"/>
        <v>0</v>
      </c>
    </row>
    <row r="209" spans="2:12" s="569" customFormat="1" hidden="1">
      <c r="B209" s="155"/>
      <c r="C209" s="132">
        <f>'Budget Detail FY 2013-20'!L367</f>
        <v>5100</v>
      </c>
      <c r="D209" s="132">
        <f>'Budget Detail FY 2013-20'!M367</f>
        <v>3930</v>
      </c>
      <c r="E209" s="132">
        <f>'Budget Detail FY 2013-20'!N367</f>
        <v>0</v>
      </c>
      <c r="F209" s="132">
        <f>'Budget Detail FY 2013-20'!O367</f>
        <v>0</v>
      </c>
      <c r="G209" s="132">
        <f>'Budget Detail FY 2013-20'!P367</f>
        <v>0</v>
      </c>
      <c r="H209" s="132">
        <f>'Budget Detail FY 2013-20'!Q367</f>
        <v>0</v>
      </c>
      <c r="I209" s="132">
        <f>'Budget Detail FY 2013-20'!R367</f>
        <v>0</v>
      </c>
      <c r="J209" s="132">
        <f>'Budget Detail FY 2013-20'!S367</f>
        <v>0</v>
      </c>
      <c r="K209" s="132">
        <f>'Budget Detail FY 2013-20'!T367</f>
        <v>0</v>
      </c>
      <c r="L209" s="571" t="s">
        <v>1150</v>
      </c>
    </row>
    <row r="210" spans="2:12" s="570" customFormat="1" hidden="1">
      <c r="B210" s="157"/>
      <c r="C210" s="133">
        <f>C208-C209</f>
        <v>0</v>
      </c>
      <c r="D210" s="133">
        <f t="shared" ref="D210:K210" si="34">D208-D209</f>
        <v>0</v>
      </c>
      <c r="E210" s="133">
        <f t="shared" si="34"/>
        <v>0</v>
      </c>
      <c r="F210" s="133">
        <f t="shared" si="34"/>
        <v>0</v>
      </c>
      <c r="G210" s="133">
        <f t="shared" si="34"/>
        <v>0</v>
      </c>
      <c r="H210" s="133">
        <f t="shared" si="34"/>
        <v>0</v>
      </c>
      <c r="I210" s="133">
        <f t="shared" si="34"/>
        <v>0</v>
      </c>
      <c r="J210" s="133">
        <f t="shared" si="34"/>
        <v>0</v>
      </c>
      <c r="K210" s="133">
        <f t="shared" si="34"/>
        <v>0</v>
      </c>
      <c r="L210" s="571" t="s">
        <v>1151</v>
      </c>
    </row>
    <row r="211" spans="2:12">
      <c r="B211" s="160"/>
      <c r="C211" s="3"/>
      <c r="D211" s="2"/>
      <c r="E211" s="2"/>
      <c r="F211" s="2"/>
      <c r="G211" s="2"/>
      <c r="H211" s="2"/>
      <c r="I211" s="2"/>
      <c r="J211" s="2"/>
      <c r="K211" s="2"/>
    </row>
    <row r="212" spans="2:12" ht="20.100000000000001" customHeight="1">
      <c r="B212" s="510" t="s">
        <v>852</v>
      </c>
      <c r="C212" s="3">
        <f t="shared" ref="C212:K212" si="35">+C202-C208</f>
        <v>7759</v>
      </c>
      <c r="D212" s="3">
        <f>+D202-D208</f>
        <v>571615</v>
      </c>
      <c r="E212" s="3">
        <f t="shared" si="35"/>
        <v>0</v>
      </c>
      <c r="F212" s="3">
        <f t="shared" si="35"/>
        <v>0</v>
      </c>
      <c r="G212" s="3">
        <f t="shared" si="35"/>
        <v>0</v>
      </c>
      <c r="H212" s="3">
        <f t="shared" si="35"/>
        <v>0</v>
      </c>
      <c r="I212" s="3">
        <f t="shared" si="35"/>
        <v>0</v>
      </c>
      <c r="J212" s="3">
        <f t="shared" si="35"/>
        <v>0</v>
      </c>
      <c r="K212" s="3">
        <f t="shared" si="35"/>
        <v>0</v>
      </c>
    </row>
    <row r="213" spans="2:12" s="569" customFormat="1" hidden="1">
      <c r="B213" s="161"/>
      <c r="C213" s="132">
        <f>'Budget Detail FY 2013-20'!L369</f>
        <v>7759</v>
      </c>
      <c r="D213" s="132">
        <f>'Budget Detail FY 2013-20'!M369</f>
        <v>571615</v>
      </c>
      <c r="E213" s="132">
        <f>'Budget Detail FY 2013-20'!N369</f>
        <v>0</v>
      </c>
      <c r="F213" s="132">
        <f>'Budget Detail FY 2013-20'!O369</f>
        <v>0</v>
      </c>
      <c r="G213" s="132">
        <f>'Budget Detail FY 2013-20'!P369</f>
        <v>0</v>
      </c>
      <c r="H213" s="132">
        <f>'Budget Detail FY 2013-20'!Q369</f>
        <v>0</v>
      </c>
      <c r="I213" s="132">
        <f>'Budget Detail FY 2013-20'!R369</f>
        <v>0</v>
      </c>
      <c r="J213" s="132">
        <f>'Budget Detail FY 2013-20'!S369</f>
        <v>0</v>
      </c>
      <c r="K213" s="132">
        <f>'Budget Detail FY 2013-20'!T369</f>
        <v>0</v>
      </c>
      <c r="L213" s="571" t="s">
        <v>1150</v>
      </c>
    </row>
    <row r="214" spans="2:12" s="570" customFormat="1" hidden="1">
      <c r="B214" s="162"/>
      <c r="C214" s="171">
        <f>C212-C213</f>
        <v>0</v>
      </c>
      <c r="D214" s="171">
        <f t="shared" ref="D214:K214" si="36">D212-D213</f>
        <v>0</v>
      </c>
      <c r="E214" s="171">
        <f t="shared" si="36"/>
        <v>0</v>
      </c>
      <c r="F214" s="171">
        <f t="shared" si="36"/>
        <v>0</v>
      </c>
      <c r="G214" s="171">
        <f t="shared" si="36"/>
        <v>0</v>
      </c>
      <c r="H214" s="171">
        <f t="shared" si="36"/>
        <v>0</v>
      </c>
      <c r="I214" s="171">
        <f t="shared" si="36"/>
        <v>0</v>
      </c>
      <c r="J214" s="171">
        <f t="shared" si="36"/>
        <v>0</v>
      </c>
      <c r="K214" s="171">
        <f t="shared" si="36"/>
        <v>0</v>
      </c>
      <c r="L214" s="571" t="s">
        <v>1151</v>
      </c>
    </row>
    <row r="215" spans="2:12">
      <c r="B215" s="164"/>
      <c r="C215" s="3"/>
      <c r="D215" s="2"/>
      <c r="E215" s="2"/>
      <c r="F215" s="2"/>
      <c r="G215" s="2"/>
      <c r="H215" s="2"/>
      <c r="I215" s="2"/>
      <c r="J215" s="2"/>
      <c r="K215" s="2"/>
    </row>
    <row r="216" spans="2:12" ht="20.100000000000001" customHeight="1" thickBot="1">
      <c r="B216" s="152" t="s">
        <v>853</v>
      </c>
      <c r="C216" s="83">
        <v>-571615</v>
      </c>
      <c r="D216" s="83">
        <v>0</v>
      </c>
      <c r="E216" s="83">
        <v>0</v>
      </c>
      <c r="F216" s="83">
        <f>D216+F212</f>
        <v>0</v>
      </c>
      <c r="G216" s="83">
        <f>F216+G212</f>
        <v>0</v>
      </c>
      <c r="H216" s="83">
        <f>G216+H212</f>
        <v>0</v>
      </c>
      <c r="I216" s="83">
        <f>H216+I212</f>
        <v>0</v>
      </c>
      <c r="J216" s="83">
        <f>I216+J212</f>
        <v>0</v>
      </c>
      <c r="K216" s="83">
        <f>J216+K212</f>
        <v>0</v>
      </c>
    </row>
    <row r="217" spans="2:12" s="569" customFormat="1" ht="15.75" hidden="1" thickTop="1">
      <c r="B217" s="155"/>
      <c r="C217" s="132">
        <f>'Budget Detail FY 2013-20'!L371</f>
        <v>-571615</v>
      </c>
      <c r="D217" s="132">
        <f>'Budget Detail FY 2013-20'!M371</f>
        <v>0</v>
      </c>
      <c r="E217" s="132">
        <f>'Budget Detail FY 2013-20'!N371</f>
        <v>0</v>
      </c>
      <c r="F217" s="132">
        <f>'Budget Detail FY 2013-20'!O371</f>
        <v>0</v>
      </c>
      <c r="G217" s="132">
        <f>'Budget Detail FY 2013-20'!P371</f>
        <v>0</v>
      </c>
      <c r="H217" s="132">
        <f>'Budget Detail FY 2013-20'!Q371</f>
        <v>0</v>
      </c>
      <c r="I217" s="132">
        <f>'Budget Detail FY 2013-20'!R371</f>
        <v>0</v>
      </c>
      <c r="J217" s="132">
        <f>'Budget Detail FY 2013-20'!S371</f>
        <v>0</v>
      </c>
      <c r="K217" s="132">
        <f>'Budget Detail FY 2013-20'!T371</f>
        <v>0</v>
      </c>
      <c r="L217" s="571" t="s">
        <v>1150</v>
      </c>
    </row>
    <row r="218" spans="2:12" s="570" customFormat="1" hidden="1">
      <c r="B218" s="157"/>
      <c r="C218" s="133">
        <f>C216-C217</f>
        <v>0</v>
      </c>
      <c r="D218" s="133">
        <f t="shared" ref="D218:K218" si="37">D216-D217</f>
        <v>0</v>
      </c>
      <c r="E218" s="133">
        <f t="shared" si="37"/>
        <v>0</v>
      </c>
      <c r="F218" s="133">
        <f t="shared" si="37"/>
        <v>0</v>
      </c>
      <c r="G218" s="133">
        <f t="shared" si="37"/>
        <v>0</v>
      </c>
      <c r="H218" s="133">
        <f t="shared" si="37"/>
        <v>0</v>
      </c>
      <c r="I218" s="133">
        <f t="shared" si="37"/>
        <v>0</v>
      </c>
      <c r="J218" s="133">
        <f t="shared" si="37"/>
        <v>0</v>
      </c>
      <c r="K218" s="133">
        <f t="shared" si="37"/>
        <v>0</v>
      </c>
      <c r="L218" s="571" t="s">
        <v>1151</v>
      </c>
    </row>
    <row r="219" spans="2:12" ht="15.75" thickTop="1">
      <c r="B219" s="165"/>
      <c r="C219" s="172"/>
      <c r="D219" s="172"/>
      <c r="E219" s="172"/>
      <c r="F219" s="172"/>
      <c r="G219" s="172"/>
      <c r="H219" s="172"/>
      <c r="I219" s="172"/>
      <c r="J219" s="172"/>
      <c r="K219" s="172"/>
    </row>
    <row r="220" spans="2:12">
      <c r="B220" s="1"/>
      <c r="C220" s="2"/>
      <c r="D220" s="2"/>
      <c r="E220" s="2"/>
      <c r="F220" s="2"/>
      <c r="G220" s="2"/>
      <c r="H220" s="2"/>
      <c r="I220" s="2"/>
      <c r="J220" s="2"/>
      <c r="K220" s="2"/>
    </row>
    <row r="221" spans="2:12">
      <c r="B221" s="1"/>
      <c r="C221" s="2"/>
      <c r="D221" s="2"/>
      <c r="E221" s="2"/>
      <c r="F221" s="2"/>
      <c r="G221" s="2"/>
      <c r="H221" s="2"/>
      <c r="I221" s="2"/>
      <c r="J221" s="2"/>
      <c r="K221" s="2"/>
    </row>
    <row r="222" spans="2:12">
      <c r="B222" s="1"/>
      <c r="C222" s="2"/>
      <c r="D222" s="2"/>
      <c r="E222" s="2"/>
      <c r="F222" s="2"/>
      <c r="G222" s="2"/>
      <c r="H222" s="2"/>
      <c r="I222" s="2"/>
      <c r="J222" s="2"/>
      <c r="K222" s="2"/>
    </row>
    <row r="223" spans="2:12">
      <c r="B223" s="1"/>
      <c r="C223" s="2"/>
      <c r="D223" s="2"/>
      <c r="E223" s="2"/>
      <c r="F223" s="2"/>
      <c r="G223" s="2"/>
      <c r="H223" s="2"/>
      <c r="I223" s="2"/>
      <c r="J223" s="2"/>
      <c r="K223" s="2"/>
    </row>
    <row r="224" spans="2:12">
      <c r="B224" s="1"/>
      <c r="C224" s="2"/>
      <c r="D224" s="2"/>
      <c r="E224" s="2"/>
      <c r="F224" s="2"/>
      <c r="G224" s="2"/>
      <c r="H224" s="2"/>
      <c r="I224" s="2"/>
      <c r="J224" s="2"/>
      <c r="K224" s="2"/>
    </row>
    <row r="225" spans="2:11">
      <c r="B225" s="1"/>
      <c r="C225" s="2"/>
      <c r="D225" s="2"/>
      <c r="E225" s="2"/>
      <c r="F225" s="2"/>
      <c r="G225" s="2"/>
      <c r="H225" s="2"/>
      <c r="I225" s="2"/>
      <c r="J225" s="2"/>
      <c r="K225" s="2"/>
    </row>
    <row r="226" spans="2:11">
      <c r="B226" s="1"/>
      <c r="C226" s="2"/>
      <c r="D226" s="2"/>
      <c r="E226" s="2"/>
      <c r="F226" s="2"/>
      <c r="G226" s="2"/>
      <c r="H226" s="2"/>
      <c r="I226" s="2"/>
      <c r="J226" s="2"/>
      <c r="K226" s="2"/>
    </row>
    <row r="227" spans="2:11">
      <c r="B227" s="1"/>
      <c r="C227" s="2"/>
      <c r="D227" s="2"/>
      <c r="E227" s="2"/>
      <c r="F227" s="2"/>
      <c r="G227" s="2"/>
      <c r="H227" s="2"/>
      <c r="I227" s="2"/>
      <c r="J227" s="2"/>
      <c r="K227" s="2"/>
    </row>
    <row r="228" spans="2:11">
      <c r="B228" s="1"/>
      <c r="C228" s="2"/>
      <c r="D228" s="2"/>
      <c r="E228" s="2"/>
      <c r="F228" s="2"/>
      <c r="G228" s="2"/>
      <c r="H228" s="2"/>
      <c r="I228" s="2"/>
      <c r="J228" s="2"/>
      <c r="K228" s="2"/>
    </row>
    <row r="229" spans="2:11">
      <c r="B229" s="1"/>
      <c r="C229" s="2"/>
      <c r="D229" s="2"/>
      <c r="E229" s="2"/>
      <c r="F229" s="2"/>
      <c r="G229" s="2"/>
      <c r="H229" s="2"/>
      <c r="I229" s="2"/>
      <c r="J229" s="2"/>
      <c r="K229" s="2"/>
    </row>
    <row r="233" spans="2:11">
      <c r="B233" s="740" t="s">
        <v>860</v>
      </c>
      <c r="C233" s="740"/>
      <c r="D233" s="740"/>
      <c r="E233" s="740"/>
      <c r="F233" s="740"/>
      <c r="G233" s="740"/>
      <c r="H233" s="740"/>
      <c r="I233" s="740"/>
      <c r="J233" s="740"/>
      <c r="K233" s="740"/>
    </row>
    <row r="234" spans="2:11">
      <c r="B234" s="65"/>
      <c r="C234" s="3"/>
      <c r="D234" s="2"/>
      <c r="E234" s="2"/>
      <c r="F234" s="2"/>
      <c r="G234" s="2"/>
      <c r="H234" s="2"/>
      <c r="I234" s="2"/>
      <c r="J234" s="2"/>
      <c r="K234" s="2"/>
    </row>
    <row r="235" spans="2:11" ht="15" customHeight="1">
      <c r="B235" s="731" t="s">
        <v>1303</v>
      </c>
      <c r="C235" s="731"/>
      <c r="D235" s="731"/>
      <c r="E235" s="731"/>
      <c r="F235" s="731"/>
      <c r="G235" s="731"/>
      <c r="H235" s="731"/>
      <c r="I235" s="731"/>
      <c r="J235" s="731"/>
      <c r="K235" s="731"/>
    </row>
    <row r="236" spans="2:11" ht="15" customHeight="1">
      <c r="B236" s="731"/>
      <c r="C236" s="731"/>
      <c r="D236" s="731"/>
      <c r="E236" s="731"/>
      <c r="F236" s="731"/>
      <c r="G236" s="731"/>
      <c r="H236" s="731"/>
      <c r="I236" s="731"/>
      <c r="J236" s="731"/>
      <c r="K236" s="731"/>
    </row>
    <row r="237" spans="2:11" ht="7.5" customHeight="1">
      <c r="B237" s="563"/>
      <c r="C237" s="22"/>
      <c r="D237" s="22"/>
      <c r="E237" s="22"/>
      <c r="F237" s="22"/>
      <c r="G237" s="22"/>
      <c r="H237" s="2"/>
      <c r="I237" s="2"/>
      <c r="J237" s="2"/>
      <c r="K237" s="2"/>
    </row>
    <row r="238" spans="2:11">
      <c r="B238" s="5"/>
      <c r="C238" s="65"/>
      <c r="D238" s="66"/>
      <c r="E238" s="65" t="s">
        <v>270</v>
      </c>
      <c r="F238" s="1"/>
      <c r="G238" s="1"/>
      <c r="H238" s="1"/>
      <c r="I238" s="1"/>
      <c r="J238" s="1"/>
      <c r="K238" s="1"/>
    </row>
    <row r="239" spans="2:11">
      <c r="B239" s="66"/>
      <c r="C239" s="65" t="s">
        <v>257</v>
      </c>
      <c r="D239" s="49" t="s">
        <v>258</v>
      </c>
      <c r="E239" s="66" t="s">
        <v>832</v>
      </c>
      <c r="F239" s="66" t="s">
        <v>270</v>
      </c>
      <c r="G239" s="66" t="s">
        <v>271</v>
      </c>
      <c r="H239" s="66" t="s">
        <v>272</v>
      </c>
      <c r="I239" s="66" t="s">
        <v>996</v>
      </c>
      <c r="J239" s="66" t="s">
        <v>1101</v>
      </c>
      <c r="K239" s="66" t="s">
        <v>1136</v>
      </c>
    </row>
    <row r="240" spans="2:11" ht="15.75" thickBot="1">
      <c r="B240" s="169"/>
      <c r="C240" s="68" t="s">
        <v>1</v>
      </c>
      <c r="D240" s="68" t="s">
        <v>1</v>
      </c>
      <c r="E240" s="68" t="s">
        <v>787</v>
      </c>
      <c r="F240" s="68" t="s">
        <v>19</v>
      </c>
      <c r="G240" s="68" t="s">
        <v>832</v>
      </c>
      <c r="H240" s="68" t="s">
        <v>19</v>
      </c>
      <c r="I240" s="68" t="s">
        <v>19</v>
      </c>
      <c r="J240" s="68" t="s">
        <v>19</v>
      </c>
      <c r="K240" s="68" t="s">
        <v>19</v>
      </c>
    </row>
    <row r="241" spans="2:12">
      <c r="B241" s="64"/>
      <c r="C241" s="170"/>
      <c r="D241" s="2"/>
      <c r="E241" s="2"/>
      <c r="F241" s="2"/>
      <c r="G241" s="2"/>
      <c r="H241" s="2"/>
      <c r="I241" s="2"/>
      <c r="J241" s="2"/>
      <c r="K241" s="2"/>
    </row>
    <row r="242" spans="2:12">
      <c r="B242" s="158" t="s">
        <v>833</v>
      </c>
      <c r="C242" s="2"/>
      <c r="D242" s="2"/>
      <c r="E242" s="2"/>
      <c r="F242" s="2"/>
      <c r="G242" s="2"/>
      <c r="H242" s="2"/>
      <c r="I242" s="2"/>
      <c r="J242" s="2"/>
      <c r="K242" s="2"/>
    </row>
    <row r="243" spans="2:12" ht="20.100000000000001" customHeight="1">
      <c r="B243" s="507" t="s">
        <v>835</v>
      </c>
      <c r="C243" s="2">
        <f>SUM('Budget Detail FY 2013-20'!L375:L379)</f>
        <v>61635</v>
      </c>
      <c r="D243" s="2">
        <f>SUM('Budget Detail FY 2013-20'!M375:M379)</f>
        <v>230839</v>
      </c>
      <c r="E243" s="2">
        <f>SUM('Budget Detail FY 2013-20'!N375:N379)</f>
        <v>105960</v>
      </c>
      <c r="F243" s="2">
        <f>SUM('Budget Detail FY 2013-20'!O375:O379)</f>
        <v>89200</v>
      </c>
      <c r="G243" s="2">
        <f>SUM('Budget Detail FY 2013-20'!P375:P379)</f>
        <v>776938</v>
      </c>
      <c r="H243" s="2">
        <f>SUM('Budget Detail FY 2013-20'!Q375:Q379)</f>
        <v>114160</v>
      </c>
      <c r="I243" s="2">
        <f>SUM('Budget Detail FY 2013-20'!R375:R379)</f>
        <v>12720</v>
      </c>
      <c r="J243" s="2">
        <f>SUM('Budget Detail FY 2013-20'!S375:S379)</f>
        <v>0</v>
      </c>
      <c r="K243" s="2">
        <f>SUM('Budget Detail FY 2013-20'!T375:T379)</f>
        <v>0</v>
      </c>
    </row>
    <row r="244" spans="2:12" ht="20.100000000000001" customHeight="1">
      <c r="B244" s="507" t="s">
        <v>836</v>
      </c>
      <c r="C244" s="2">
        <f>SUM('Budget Detail FY 2013-20'!L380:L384)</f>
        <v>94675</v>
      </c>
      <c r="D244" s="2">
        <f>SUM('Budget Detail FY 2013-20'!M380:M384)</f>
        <v>83542</v>
      </c>
      <c r="E244" s="2">
        <f>SUM('Budget Detail FY 2013-20'!N380:N384)</f>
        <v>20250</v>
      </c>
      <c r="F244" s="2">
        <f>SUM('Budget Detail FY 2013-20'!O380:O384)</f>
        <v>17500</v>
      </c>
      <c r="G244" s="2">
        <f>SUM('Budget Detail FY 2013-20'!P380:P384)</f>
        <v>17500</v>
      </c>
      <c r="H244" s="2">
        <f>SUM('Budget Detail FY 2013-20'!Q380:Q384)</f>
        <v>17500</v>
      </c>
      <c r="I244" s="2">
        <f>SUM('Budget Detail FY 2013-20'!R380:R384)</f>
        <v>17500</v>
      </c>
      <c r="J244" s="2">
        <f>SUM('Budget Detail FY 2013-20'!S380:S384)</f>
        <v>17500</v>
      </c>
      <c r="K244" s="2">
        <f>SUM('Budget Detail FY 2013-20'!T380:T384)</f>
        <v>17500</v>
      </c>
    </row>
    <row r="245" spans="2:12" ht="20.100000000000001" customHeight="1">
      <c r="B245" s="507" t="s">
        <v>838</v>
      </c>
      <c r="C245" s="2">
        <f>'Budget Detail FY 2013-20'!L385</f>
        <v>0</v>
      </c>
      <c r="D245" s="2">
        <f>'Budget Detail FY 2013-20'!M385</f>
        <v>684319</v>
      </c>
      <c r="E245" s="2">
        <f>'Budget Detail FY 2013-20'!N385</f>
        <v>680000</v>
      </c>
      <c r="F245" s="2">
        <f>'Budget Detail FY 2013-20'!O385</f>
        <v>680000</v>
      </c>
      <c r="G245" s="2">
        <f>'Budget Detail FY 2013-20'!P385</f>
        <v>680000</v>
      </c>
      <c r="H245" s="2">
        <f>'Budget Detail FY 2013-20'!Q385</f>
        <v>680000</v>
      </c>
      <c r="I245" s="2">
        <f>'Budget Detail FY 2013-20'!R385</f>
        <v>680000</v>
      </c>
      <c r="J245" s="2">
        <f>'Budget Detail FY 2013-20'!S385</f>
        <v>680000</v>
      </c>
      <c r="K245" s="2">
        <f>'Budget Detail FY 2013-20'!T385</f>
        <v>680000</v>
      </c>
    </row>
    <row r="246" spans="2:12" ht="20.100000000000001" customHeight="1">
      <c r="B246" s="507" t="s">
        <v>839</v>
      </c>
      <c r="C246" s="2">
        <f>'Budget Detail FY 2013-20'!L386</f>
        <v>243</v>
      </c>
      <c r="D246" s="2">
        <f>'Budget Detail FY 2013-20'!M386</f>
        <v>204</v>
      </c>
      <c r="E246" s="2">
        <f>'Budget Detail FY 2013-20'!N386</f>
        <v>3000</v>
      </c>
      <c r="F246" s="2">
        <f>'Budget Detail FY 2013-20'!O386</f>
        <v>4500</v>
      </c>
      <c r="G246" s="2">
        <f>'Budget Detail FY 2013-20'!P386</f>
        <v>1000</v>
      </c>
      <c r="H246" s="2">
        <f>'Budget Detail FY 2013-20'!Q386</f>
        <v>0</v>
      </c>
      <c r="I246" s="2">
        <f>'Budget Detail FY 2013-20'!R386</f>
        <v>0</v>
      </c>
      <c r="J246" s="2">
        <f>'Budget Detail FY 2013-20'!S386</f>
        <v>0</v>
      </c>
      <c r="K246" s="2">
        <f>'Budget Detail FY 2013-20'!T386</f>
        <v>0</v>
      </c>
    </row>
    <row r="247" spans="2:12" ht="20.100000000000001" customHeight="1">
      <c r="B247" s="507" t="s">
        <v>840</v>
      </c>
      <c r="C247" s="2">
        <f>SUM('Budget Detail FY 2013-20'!L387:L390)</f>
        <v>20007</v>
      </c>
      <c r="D247" s="2">
        <f>SUM('Budget Detail FY 2013-20'!M387:M390)</f>
        <v>89356</v>
      </c>
      <c r="E247" s="2">
        <f>SUM('Budget Detail FY 2013-20'!N387:N390)</f>
        <v>885630</v>
      </c>
      <c r="F247" s="2">
        <f>SUM('Budget Detail FY 2013-20'!O387:O390)</f>
        <v>1567018</v>
      </c>
      <c r="G247" s="2">
        <f>SUM('Budget Detail FY 2013-20'!P387:P390)</f>
        <v>67700</v>
      </c>
      <c r="H247" s="2">
        <f>SUM('Budget Detail FY 2013-20'!Q387:Q390)</f>
        <v>294740</v>
      </c>
      <c r="I247" s="2">
        <f>SUM('Budget Detail FY 2013-20'!R387:R390)</f>
        <v>32780</v>
      </c>
      <c r="J247" s="2">
        <f>SUM('Budget Detail FY 2013-20'!S387:S390)</f>
        <v>0</v>
      </c>
      <c r="K247" s="2">
        <f>SUM('Budget Detail FY 2013-20'!T387:T390)</f>
        <v>0</v>
      </c>
    </row>
    <row r="248" spans="2:12" ht="20.100000000000001" customHeight="1">
      <c r="B248" s="507" t="s">
        <v>842</v>
      </c>
      <c r="C248" s="2">
        <f>SUM('Budget Detail FY 2013-20'!L391:L396)</f>
        <v>457182</v>
      </c>
      <c r="D248" s="2">
        <f>SUM('Budget Detail FY 2013-20'!M391:M396)</f>
        <v>464364</v>
      </c>
      <c r="E248" s="2">
        <f>SUM('Budget Detail FY 2013-20'!N391:N396)</f>
        <v>4855000</v>
      </c>
      <c r="F248" s="2">
        <f>SUM('Budget Detail FY 2013-20'!O391:O396)</f>
        <v>4463289</v>
      </c>
      <c r="G248" s="2">
        <f>SUM('Budget Detail FY 2013-20'!P391:P396)</f>
        <v>214184</v>
      </c>
      <c r="H248" s="2">
        <f>SUM('Budget Detail FY 2013-20'!Q391:Q396)</f>
        <v>64500</v>
      </c>
      <c r="I248" s="2">
        <f>SUM('Budget Detail FY 2013-20'!R391:R396)</f>
        <v>64500</v>
      </c>
      <c r="J248" s="2">
        <f>SUM('Budget Detail FY 2013-20'!S391:S396)</f>
        <v>64500</v>
      </c>
      <c r="K248" s="2">
        <f>SUM('Budget Detail FY 2013-20'!T391:T396)</f>
        <v>64500</v>
      </c>
    </row>
    <row r="249" spans="2:12" ht="20.100000000000001" customHeight="1" thickBot="1">
      <c r="B249" s="153" t="s">
        <v>843</v>
      </c>
      <c r="C249" s="150">
        <f t="shared" ref="C249:K249" si="38">SUM(C243:C248)</f>
        <v>633742</v>
      </c>
      <c r="D249" s="150">
        <f t="shared" si="38"/>
        <v>1552624</v>
      </c>
      <c r="E249" s="150">
        <f t="shared" si="38"/>
        <v>6549840</v>
      </c>
      <c r="F249" s="150">
        <f t="shared" si="38"/>
        <v>6821507</v>
      </c>
      <c r="G249" s="150">
        <f t="shared" si="38"/>
        <v>1757322</v>
      </c>
      <c r="H249" s="150">
        <f t="shared" si="38"/>
        <v>1170900</v>
      </c>
      <c r="I249" s="150">
        <f t="shared" si="38"/>
        <v>807500</v>
      </c>
      <c r="J249" s="150">
        <f t="shared" si="38"/>
        <v>762000</v>
      </c>
      <c r="K249" s="150">
        <f t="shared" si="38"/>
        <v>762000</v>
      </c>
    </row>
    <row r="250" spans="2:12" s="569" customFormat="1" ht="15" hidden="1" customHeight="1">
      <c r="B250" s="155"/>
      <c r="C250" s="132">
        <f>'Budget Detail FY 2013-20'!L398</f>
        <v>633742</v>
      </c>
      <c r="D250" s="132">
        <f>'Budget Detail FY 2013-20'!M398</f>
        <v>1552624</v>
      </c>
      <c r="E250" s="132">
        <f>'Budget Detail FY 2013-20'!N398</f>
        <v>6549840</v>
      </c>
      <c r="F250" s="132">
        <f>'Budget Detail FY 2013-20'!O398</f>
        <v>6821507</v>
      </c>
      <c r="G250" s="132">
        <f>'Budget Detail FY 2013-20'!P398</f>
        <v>1757322</v>
      </c>
      <c r="H250" s="132">
        <f>'Budget Detail FY 2013-20'!Q398</f>
        <v>1170900</v>
      </c>
      <c r="I250" s="132">
        <f>'Budget Detail FY 2013-20'!R398</f>
        <v>807500</v>
      </c>
      <c r="J250" s="132">
        <f>'Budget Detail FY 2013-20'!S398</f>
        <v>762000</v>
      </c>
      <c r="K250" s="132">
        <f>'Budget Detail FY 2013-20'!T398</f>
        <v>762000</v>
      </c>
      <c r="L250" s="571" t="s">
        <v>1150</v>
      </c>
    </row>
    <row r="251" spans="2:12" s="570" customFormat="1" ht="15" hidden="1" customHeight="1">
      <c r="B251" s="157"/>
      <c r="C251" s="133">
        <f>C249-C250</f>
        <v>0</v>
      </c>
      <c r="D251" s="133">
        <f t="shared" ref="D251:K251" si="39">D249-D250</f>
        <v>0</v>
      </c>
      <c r="E251" s="133">
        <f t="shared" si="39"/>
        <v>0</v>
      </c>
      <c r="F251" s="133">
        <f t="shared" si="39"/>
        <v>0</v>
      </c>
      <c r="G251" s="133">
        <f t="shared" si="39"/>
        <v>0</v>
      </c>
      <c r="H251" s="133">
        <f t="shared" si="39"/>
        <v>0</v>
      </c>
      <c r="I251" s="133">
        <f t="shared" si="39"/>
        <v>0</v>
      </c>
      <c r="J251" s="133">
        <f t="shared" si="39"/>
        <v>0</v>
      </c>
      <c r="K251" s="133">
        <f t="shared" si="39"/>
        <v>0</v>
      </c>
      <c r="L251" s="571" t="s">
        <v>1151</v>
      </c>
    </row>
    <row r="252" spans="2:12" ht="7.5" customHeight="1">
      <c r="B252" s="1"/>
      <c r="C252" s="2"/>
      <c r="D252" s="2"/>
      <c r="E252" s="2"/>
      <c r="F252" s="2"/>
      <c r="G252" s="2"/>
      <c r="H252" s="2"/>
      <c r="I252" s="2"/>
      <c r="J252" s="2"/>
      <c r="K252" s="2"/>
    </row>
    <row r="253" spans="2:12">
      <c r="B253" s="158" t="s">
        <v>598</v>
      </c>
      <c r="C253" s="2"/>
      <c r="D253" s="2"/>
      <c r="E253" s="2"/>
      <c r="F253" s="2"/>
      <c r="G253" s="2"/>
      <c r="H253" s="2"/>
      <c r="I253" s="2"/>
      <c r="J253" s="2"/>
      <c r="K253" s="2"/>
    </row>
    <row r="254" spans="2:12" ht="20.100000000000001" customHeight="1">
      <c r="B254" s="508" t="s">
        <v>846</v>
      </c>
      <c r="C254" s="2">
        <f>SUM('Budget Detail FY 2013-20'!L408:L413)+'Budget Detail FY 2013-20'!L402+'Budget Detail FY 2013-20'!L401+'Budget Detail FY 2013-20'!L414</f>
        <v>175608</v>
      </c>
      <c r="D254" s="2">
        <f>SUM('Budget Detail FY 2013-20'!M408:M413)+'Budget Detail FY 2013-20'!M402+'Budget Detail FY 2013-20'!M401+'Budget Detail FY 2013-20'!M414</f>
        <v>94194</v>
      </c>
      <c r="E254" s="2">
        <f>SUM('Budget Detail FY 2013-20'!N408:N413)+'Budget Detail FY 2013-20'!N402+'Budget Detail FY 2013-20'!N401+'Budget Detail FY 2013-20'!N414</f>
        <v>130000</v>
      </c>
      <c r="F254" s="2">
        <f>SUM('Budget Detail FY 2013-20'!O408:O413)+'Budget Detail FY 2013-20'!O402+'Budget Detail FY 2013-20'!O401+'Budget Detail FY 2013-20'!O414</f>
        <v>301554</v>
      </c>
      <c r="G254" s="2">
        <f>SUM('Budget Detail FY 2013-20'!P408:P413)+'Budget Detail FY 2013-20'!P402+'Budget Detail FY 2013-20'!P401+'Budget Detail FY 2013-20'!P414</f>
        <v>86025</v>
      </c>
      <c r="H254" s="2">
        <f>SUM('Budget Detail FY 2013-20'!Q408:Q413)+'Budget Detail FY 2013-20'!Q402+'Budget Detail FY 2013-20'!Q401+'Budget Detail FY 2013-20'!Q414</f>
        <v>86025</v>
      </c>
      <c r="I254" s="2">
        <f>SUM('Budget Detail FY 2013-20'!R408:R413)+'Budget Detail FY 2013-20'!R402+'Budget Detail FY 2013-20'!R401+'Budget Detail FY 2013-20'!R414</f>
        <v>86025</v>
      </c>
      <c r="J254" s="2">
        <f>SUM('Budget Detail FY 2013-20'!S408:S413)+'Budget Detail FY 2013-20'!S402+'Budget Detail FY 2013-20'!S401+'Budget Detail FY 2013-20'!S414</f>
        <v>86025</v>
      </c>
      <c r="K254" s="2">
        <f>SUM('Budget Detail FY 2013-20'!T408:T413)+'Budget Detail FY 2013-20'!T402+'Budget Detail FY 2013-20'!T401+'Budget Detail FY 2013-20'!T414</f>
        <v>86025</v>
      </c>
    </row>
    <row r="255" spans="2:12" ht="20.100000000000001" customHeight="1">
      <c r="B255" s="508" t="s">
        <v>847</v>
      </c>
      <c r="C255" s="2">
        <f>'Budget Detail FY 2013-20'!L403</f>
        <v>0</v>
      </c>
      <c r="D255" s="2">
        <f>'Budget Detail FY 2013-20'!M403</f>
        <v>0</v>
      </c>
      <c r="E255" s="2">
        <f>'Budget Detail FY 2013-20'!N403</f>
        <v>25000</v>
      </c>
      <c r="F255" s="2">
        <f>'Budget Detail FY 2013-20'!O403</f>
        <v>25000</v>
      </c>
      <c r="G255" s="2">
        <f>'Budget Detail FY 2013-20'!P403</f>
        <v>27500</v>
      </c>
      <c r="H255" s="2">
        <f>'Budget Detail FY 2013-20'!Q403</f>
        <v>30000</v>
      </c>
      <c r="I255" s="2">
        <f>'Budget Detail FY 2013-20'!R403</f>
        <v>30000</v>
      </c>
      <c r="J255" s="2">
        <f>'Budget Detail FY 2013-20'!S403</f>
        <v>30000</v>
      </c>
      <c r="K255" s="2">
        <f>'Budget Detail FY 2013-20'!T403</f>
        <v>30000</v>
      </c>
    </row>
    <row r="256" spans="2:12" ht="20.100000000000001" customHeight="1">
      <c r="B256" s="508" t="s">
        <v>848</v>
      </c>
      <c r="C256" s="2">
        <f>SUM('Budget Detail FY 2013-20'!L415:L429)</f>
        <v>210605</v>
      </c>
      <c r="D256" s="2">
        <f>SUM('Budget Detail FY 2013-20'!M415:M429)</f>
        <v>1033122</v>
      </c>
      <c r="E256" s="2">
        <f>SUM('Budget Detail FY 2013-20'!N415:N429)</f>
        <v>2334022</v>
      </c>
      <c r="F256" s="2">
        <f>SUM('Budget Detail FY 2013-20'!O415:O429)</f>
        <v>2113105</v>
      </c>
      <c r="G256" s="2">
        <f>SUM('Budget Detail FY 2013-20'!P415:P429)</f>
        <v>5375823</v>
      </c>
      <c r="H256" s="2">
        <f>SUM('Budget Detail FY 2013-20'!Q415:Q429)</f>
        <v>936400</v>
      </c>
      <c r="I256" s="2">
        <f>SUM('Budget Detail FY 2013-20'!R415:R429)</f>
        <v>823582</v>
      </c>
      <c r="J256" s="2">
        <f>SUM('Budget Detail FY 2013-20'!S415:S429)</f>
        <v>243168</v>
      </c>
      <c r="K256" s="2">
        <f>SUM('Budget Detail FY 2013-20'!T415:T429)</f>
        <v>321287</v>
      </c>
    </row>
    <row r="257" spans="2:12" ht="20.100000000000001" customHeight="1">
      <c r="B257" s="508" t="s">
        <v>772</v>
      </c>
      <c r="C257" s="2">
        <f>SUM('Budget Detail FY 2013-20'!L431:L434)</f>
        <v>0</v>
      </c>
      <c r="D257" s="2">
        <f>SUM('Budget Detail FY 2013-20'!M431:M434)</f>
        <v>75000</v>
      </c>
      <c r="E257" s="2">
        <f>SUM('Budget Detail FY 2013-20'!N431:N434)</f>
        <v>85000</v>
      </c>
      <c r="F257" s="2">
        <f>SUM('Budget Detail FY 2013-20'!O431:O434)</f>
        <v>75000</v>
      </c>
      <c r="G257" s="2">
        <f>SUM('Budget Detail FY 2013-20'!P431:P434)</f>
        <v>408356</v>
      </c>
      <c r="H257" s="2">
        <f>SUM('Budget Detail FY 2013-20'!Q431:Q434)</f>
        <v>406557</v>
      </c>
      <c r="I257" s="2">
        <f>SUM('Budget Detail FY 2013-20'!R431:R434)</f>
        <v>406007</v>
      </c>
      <c r="J257" s="2">
        <f>SUM('Budget Detail FY 2013-20'!S431:S434)</f>
        <v>400307</v>
      </c>
      <c r="K257" s="2">
        <f>SUM('Budget Detail FY 2013-20'!T431:T434)</f>
        <v>322188</v>
      </c>
    </row>
    <row r="258" spans="2:12" ht="20.100000000000001" customHeight="1">
      <c r="B258" s="507" t="s">
        <v>850</v>
      </c>
      <c r="C258" s="2">
        <f>'Budget Detail FY 2013-20'!L404+'Budget Detail FY 2013-20'!L435</f>
        <v>0</v>
      </c>
      <c r="D258" s="2">
        <f>'Budget Detail FY 2013-20'!M404+'Budget Detail FY 2013-20'!M435</f>
        <v>2479</v>
      </c>
      <c r="E258" s="2">
        <f>'Budget Detail FY 2013-20'!N404+'Budget Detail FY 2013-20'!N435</f>
        <v>5250</v>
      </c>
      <c r="F258" s="2">
        <f>'Budget Detail FY 2013-20'!O404+'Budget Detail FY 2013-20'!O435</f>
        <v>9325</v>
      </c>
      <c r="G258" s="2">
        <f>'Budget Detail FY 2013-20'!P404+'Budget Detail FY 2013-20'!P435</f>
        <v>2500</v>
      </c>
      <c r="H258" s="2">
        <f>'Budget Detail FY 2013-20'!Q404+'Budget Detail FY 2013-20'!Q435</f>
        <v>2500</v>
      </c>
      <c r="I258" s="2">
        <f>'Budget Detail FY 2013-20'!R404+'Budget Detail FY 2013-20'!R435</f>
        <v>2500</v>
      </c>
      <c r="J258" s="2">
        <f>'Budget Detail FY 2013-20'!S404+'Budget Detail FY 2013-20'!S435</f>
        <v>2500</v>
      </c>
      <c r="K258" s="2">
        <f>'Budget Detail FY 2013-20'!T404+'Budget Detail FY 2013-20'!T435</f>
        <v>2500</v>
      </c>
    </row>
    <row r="259" spans="2:12" ht="20.100000000000001" customHeight="1" thickBot="1">
      <c r="B259" s="153" t="s">
        <v>851</v>
      </c>
      <c r="C259" s="150">
        <f>SUM(C254:C258)</f>
        <v>386213</v>
      </c>
      <c r="D259" s="150">
        <f t="shared" ref="D259:K259" si="40">SUM(D254:D258)</f>
        <v>1204795</v>
      </c>
      <c r="E259" s="150">
        <f t="shared" si="40"/>
        <v>2579272</v>
      </c>
      <c r="F259" s="150">
        <f>SUM(F254:F258)</f>
        <v>2523984</v>
      </c>
      <c r="G259" s="150">
        <f t="shared" si="40"/>
        <v>5900204</v>
      </c>
      <c r="H259" s="150">
        <f t="shared" si="40"/>
        <v>1461482</v>
      </c>
      <c r="I259" s="150">
        <f t="shared" si="40"/>
        <v>1348114</v>
      </c>
      <c r="J259" s="150">
        <f t="shared" si="40"/>
        <v>762000</v>
      </c>
      <c r="K259" s="150">
        <f t="shared" si="40"/>
        <v>762000</v>
      </c>
    </row>
    <row r="260" spans="2:12" s="569" customFormat="1" hidden="1">
      <c r="B260" s="155"/>
      <c r="C260" s="132">
        <f>'Budget Detail FY 2013-20'!L438</f>
        <v>386213</v>
      </c>
      <c r="D260" s="132">
        <f>'Budget Detail FY 2013-20'!M438</f>
        <v>1204795</v>
      </c>
      <c r="E260" s="132">
        <f>'Budget Detail FY 2013-20'!N438</f>
        <v>2579272</v>
      </c>
      <c r="F260" s="132">
        <f>'Budget Detail FY 2013-20'!O438</f>
        <v>2523984</v>
      </c>
      <c r="G260" s="132">
        <f>'Budget Detail FY 2013-20'!P438</f>
        <v>5900204</v>
      </c>
      <c r="H260" s="132">
        <f>'Budget Detail FY 2013-20'!Q438</f>
        <v>1461482</v>
      </c>
      <c r="I260" s="132">
        <f>'Budget Detail FY 2013-20'!R438</f>
        <v>1348114</v>
      </c>
      <c r="J260" s="132">
        <f>'Budget Detail FY 2013-20'!S438</f>
        <v>762000</v>
      </c>
      <c r="K260" s="132">
        <f>'Budget Detail FY 2013-20'!T438</f>
        <v>762000</v>
      </c>
      <c r="L260" s="571" t="s">
        <v>1150</v>
      </c>
    </row>
    <row r="261" spans="2:12" s="570" customFormat="1" hidden="1">
      <c r="B261" s="157"/>
      <c r="C261" s="133">
        <f>C259-C260</f>
        <v>0</v>
      </c>
      <c r="D261" s="133">
        <f t="shared" ref="D261:K261" si="41">D259-D260</f>
        <v>0</v>
      </c>
      <c r="E261" s="133">
        <f t="shared" si="41"/>
        <v>0</v>
      </c>
      <c r="F261" s="133">
        <f t="shared" si="41"/>
        <v>0</v>
      </c>
      <c r="G261" s="133">
        <f t="shared" si="41"/>
        <v>0</v>
      </c>
      <c r="H261" s="133">
        <f t="shared" si="41"/>
        <v>0</v>
      </c>
      <c r="I261" s="133">
        <f t="shared" si="41"/>
        <v>0</v>
      </c>
      <c r="J261" s="133">
        <f t="shared" si="41"/>
        <v>0</v>
      </c>
      <c r="K261" s="133">
        <f t="shared" si="41"/>
        <v>0</v>
      </c>
      <c r="L261" s="571" t="s">
        <v>1151</v>
      </c>
    </row>
    <row r="262" spans="2:12" ht="7.5" customHeight="1">
      <c r="B262" s="160"/>
      <c r="C262" s="3"/>
      <c r="D262" s="2"/>
      <c r="E262" s="2"/>
      <c r="F262" s="2"/>
      <c r="G262" s="2"/>
      <c r="H262" s="2"/>
      <c r="I262" s="2"/>
      <c r="J262" s="2"/>
      <c r="K262" s="2"/>
    </row>
    <row r="263" spans="2:12" ht="20.100000000000001" customHeight="1">
      <c r="B263" s="510" t="s">
        <v>852</v>
      </c>
      <c r="C263" s="3">
        <f t="shared" ref="C263:K263" si="42">+C249-C259</f>
        <v>247529</v>
      </c>
      <c r="D263" s="3">
        <f t="shared" si="42"/>
        <v>347829</v>
      </c>
      <c r="E263" s="3">
        <f t="shared" si="42"/>
        <v>3970568</v>
      </c>
      <c r="F263" s="3">
        <f t="shared" si="42"/>
        <v>4297523</v>
      </c>
      <c r="G263" s="3">
        <f t="shared" si="42"/>
        <v>-4142882</v>
      </c>
      <c r="H263" s="3">
        <f t="shared" si="42"/>
        <v>-290582</v>
      </c>
      <c r="I263" s="3">
        <f t="shared" si="42"/>
        <v>-540614</v>
      </c>
      <c r="J263" s="3">
        <f t="shared" si="42"/>
        <v>0</v>
      </c>
      <c r="K263" s="3">
        <f t="shared" si="42"/>
        <v>0</v>
      </c>
    </row>
    <row r="264" spans="2:12" s="569" customFormat="1" hidden="1">
      <c r="B264" s="161"/>
      <c r="C264" s="132">
        <f>'Budget Detail FY 2013-20'!L440</f>
        <v>247529</v>
      </c>
      <c r="D264" s="132">
        <f>'Budget Detail FY 2013-20'!M440</f>
        <v>347829</v>
      </c>
      <c r="E264" s="132">
        <f>'Budget Detail FY 2013-20'!N440</f>
        <v>3970568</v>
      </c>
      <c r="F264" s="132">
        <f>'Budget Detail FY 2013-20'!O440</f>
        <v>4297523</v>
      </c>
      <c r="G264" s="132">
        <f>'Budget Detail FY 2013-20'!P440</f>
        <v>-4142882</v>
      </c>
      <c r="H264" s="132">
        <f>'Budget Detail FY 2013-20'!Q440</f>
        <v>-290582</v>
      </c>
      <c r="I264" s="132">
        <f>'Budget Detail FY 2013-20'!R440</f>
        <v>-540614</v>
      </c>
      <c r="J264" s="132">
        <f>'Budget Detail FY 2013-20'!S440</f>
        <v>0</v>
      </c>
      <c r="K264" s="132">
        <f>'Budget Detail FY 2013-20'!T440</f>
        <v>0</v>
      </c>
      <c r="L264" s="571" t="s">
        <v>1150</v>
      </c>
    </row>
    <row r="265" spans="2:12" s="570" customFormat="1" hidden="1">
      <c r="B265" s="162"/>
      <c r="C265" s="171">
        <f>C263-C264</f>
        <v>0</v>
      </c>
      <c r="D265" s="171">
        <f t="shared" ref="D265:K265" si="43">D263-D264</f>
        <v>0</v>
      </c>
      <c r="E265" s="171">
        <f t="shared" si="43"/>
        <v>0</v>
      </c>
      <c r="F265" s="171">
        <f t="shared" si="43"/>
        <v>0</v>
      </c>
      <c r="G265" s="171">
        <f t="shared" si="43"/>
        <v>0</v>
      </c>
      <c r="H265" s="171">
        <f t="shared" si="43"/>
        <v>0</v>
      </c>
      <c r="I265" s="171">
        <f t="shared" si="43"/>
        <v>0</v>
      </c>
      <c r="J265" s="171">
        <f t="shared" si="43"/>
        <v>0</v>
      </c>
      <c r="K265" s="171">
        <f t="shared" si="43"/>
        <v>0</v>
      </c>
      <c r="L265" s="571" t="s">
        <v>1151</v>
      </c>
    </row>
    <row r="266" spans="2:12" ht="7.5" customHeight="1">
      <c r="B266" s="173"/>
      <c r="C266" s="111"/>
      <c r="D266" s="111"/>
      <c r="E266" s="111"/>
      <c r="F266" s="111"/>
      <c r="G266" s="111"/>
      <c r="H266" s="111"/>
      <c r="I266" s="111"/>
      <c r="J266" s="111"/>
      <c r="K266" s="111"/>
    </row>
    <row r="267" spans="2:12" ht="20.100000000000001" customHeight="1">
      <c r="B267" s="174" t="s">
        <v>1360</v>
      </c>
      <c r="C267" s="98">
        <v>0</v>
      </c>
      <c r="D267" s="98">
        <v>0</v>
      </c>
      <c r="E267" s="98">
        <v>0</v>
      </c>
      <c r="F267" s="98">
        <f>'Budget Detail FY 2013-20'!O442</f>
        <v>0</v>
      </c>
      <c r="G267" s="98">
        <f>'Budget Detail FY 2013-20'!P442</f>
        <v>0</v>
      </c>
      <c r="H267" s="98">
        <f>'Budget Detail FY 2013-20'!Q442</f>
        <v>0</v>
      </c>
      <c r="I267" s="98">
        <f>'Budget Detail FY 2013-20'!R442</f>
        <v>0</v>
      </c>
      <c r="J267" s="98">
        <f>'Budget Detail FY 2013-20'!S442</f>
        <v>0</v>
      </c>
      <c r="K267" s="98">
        <f>'Budget Detail FY 2013-20'!T442</f>
        <v>0</v>
      </c>
    </row>
    <row r="268" spans="2:12" s="569" customFormat="1" hidden="1">
      <c r="B268" s="175"/>
      <c r="C268" s="132">
        <f>'Budget Detail FY 2013-20'!L442</f>
        <v>0</v>
      </c>
      <c r="D268" s="132">
        <f>'Budget Detail FY 2013-20'!M442</f>
        <v>0</v>
      </c>
      <c r="E268" s="132">
        <f>'Budget Detail FY 2013-20'!N442</f>
        <v>0</v>
      </c>
      <c r="F268" s="132">
        <f>'Budget Detail FY 2013-20'!O442</f>
        <v>0</v>
      </c>
      <c r="G268" s="132">
        <f>'Budget Detail FY 2013-20'!P442</f>
        <v>0</v>
      </c>
      <c r="H268" s="132">
        <f>'Budget Detail FY 2013-20'!Q442</f>
        <v>0</v>
      </c>
      <c r="I268" s="132">
        <f>'Budget Detail FY 2013-20'!R442</f>
        <v>0</v>
      </c>
      <c r="J268" s="132">
        <f>'Budget Detail FY 2013-20'!S442</f>
        <v>0</v>
      </c>
      <c r="K268" s="132">
        <f>'Budget Detail FY 2013-20'!T442</f>
        <v>0</v>
      </c>
      <c r="L268" s="571" t="s">
        <v>1150</v>
      </c>
    </row>
    <row r="269" spans="2:12" s="570" customFormat="1" hidden="1">
      <c r="B269" s="176"/>
      <c r="C269" s="163">
        <f>C267-C268</f>
        <v>0</v>
      </c>
      <c r="D269" s="163">
        <f t="shared" ref="D269:K269" si="44">D267-D268</f>
        <v>0</v>
      </c>
      <c r="E269" s="163">
        <f t="shared" si="44"/>
        <v>0</v>
      </c>
      <c r="F269" s="163">
        <f t="shared" si="44"/>
        <v>0</v>
      </c>
      <c r="G269" s="163">
        <f t="shared" si="44"/>
        <v>0</v>
      </c>
      <c r="H269" s="163">
        <f t="shared" si="44"/>
        <v>0</v>
      </c>
      <c r="I269" s="163">
        <f t="shared" si="44"/>
        <v>0</v>
      </c>
      <c r="J269" s="163">
        <f t="shared" si="44"/>
        <v>0</v>
      </c>
      <c r="K269" s="163">
        <f t="shared" si="44"/>
        <v>0</v>
      </c>
      <c r="L269" s="571" t="s">
        <v>1151</v>
      </c>
    </row>
    <row r="270" spans="2:12" ht="7.5" customHeight="1">
      <c r="B270" s="174"/>
      <c r="C270" s="98"/>
      <c r="D270" s="98"/>
      <c r="E270" s="98"/>
      <c r="F270" s="98"/>
      <c r="G270" s="98"/>
      <c r="H270" s="98"/>
      <c r="I270" s="98"/>
      <c r="J270" s="98"/>
      <c r="K270" s="98"/>
    </row>
    <row r="271" spans="2:12" ht="20.100000000000001" customHeight="1">
      <c r="B271" s="174" t="s">
        <v>1050</v>
      </c>
      <c r="C271" s="98">
        <v>328726</v>
      </c>
      <c r="D271" s="98">
        <v>676555</v>
      </c>
      <c r="E271" s="98">
        <v>4662971</v>
      </c>
      <c r="F271" s="98">
        <f>'Budget Detail FY 2013-20'!O444</f>
        <v>4974078</v>
      </c>
      <c r="G271" s="98">
        <f>'Budget Detail FY 2013-20'!P444</f>
        <v>831196</v>
      </c>
      <c r="H271" s="98">
        <f>'Budget Detail FY 2013-20'!Q444</f>
        <v>540614</v>
      </c>
      <c r="I271" s="98">
        <f>'Budget Detail FY 2013-20'!R444</f>
        <v>0</v>
      </c>
      <c r="J271" s="98">
        <f>'Budget Detail FY 2013-20'!S444</f>
        <v>0</v>
      </c>
      <c r="K271" s="98">
        <f>'Budget Detail FY 2013-20'!T444</f>
        <v>0</v>
      </c>
    </row>
    <row r="272" spans="2:12" s="569" customFormat="1" hidden="1">
      <c r="B272" s="175"/>
      <c r="C272" s="132">
        <f>'Budget Detail FY 2013-20'!L444</f>
        <v>328726</v>
      </c>
      <c r="D272" s="132">
        <f>'Budget Detail FY 2013-20'!M444</f>
        <v>676555</v>
      </c>
      <c r="E272" s="132">
        <f>'Budget Detail FY 2013-20'!N444</f>
        <v>4662971</v>
      </c>
      <c r="F272" s="132">
        <f>'Budget Detail FY 2013-20'!O444</f>
        <v>4974078</v>
      </c>
      <c r="G272" s="132">
        <f>'Budget Detail FY 2013-20'!P444</f>
        <v>831196</v>
      </c>
      <c r="H272" s="132">
        <f>'Budget Detail FY 2013-20'!Q444</f>
        <v>540614</v>
      </c>
      <c r="I272" s="132">
        <f>'Budget Detail FY 2013-20'!R444</f>
        <v>0</v>
      </c>
      <c r="J272" s="132">
        <f>'Budget Detail FY 2013-20'!S444</f>
        <v>0</v>
      </c>
      <c r="K272" s="132">
        <f>'Budget Detail FY 2013-20'!T444</f>
        <v>0</v>
      </c>
      <c r="L272" s="571" t="s">
        <v>1150</v>
      </c>
    </row>
    <row r="273" spans="2:12" s="570" customFormat="1" hidden="1">
      <c r="B273" s="176"/>
      <c r="C273" s="163">
        <f>C271-C272</f>
        <v>0</v>
      </c>
      <c r="D273" s="163">
        <f t="shared" ref="D273:K273" si="45">D271-D272</f>
        <v>0</v>
      </c>
      <c r="E273" s="163">
        <f t="shared" si="45"/>
        <v>0</v>
      </c>
      <c r="F273" s="163">
        <f t="shared" si="45"/>
        <v>0</v>
      </c>
      <c r="G273" s="163">
        <f t="shared" si="45"/>
        <v>0</v>
      </c>
      <c r="H273" s="163">
        <f t="shared" si="45"/>
        <v>0</v>
      </c>
      <c r="I273" s="163">
        <f t="shared" si="45"/>
        <v>0</v>
      </c>
      <c r="J273" s="163">
        <f t="shared" si="45"/>
        <v>0</v>
      </c>
      <c r="K273" s="163">
        <f t="shared" si="45"/>
        <v>0</v>
      </c>
      <c r="L273" s="571" t="s">
        <v>1151</v>
      </c>
    </row>
    <row r="274" spans="2:12" ht="7.5" customHeight="1">
      <c r="B274" s="174"/>
      <c r="C274" s="98"/>
      <c r="D274" s="98"/>
      <c r="E274" s="98"/>
      <c r="F274" s="98"/>
      <c r="G274" s="98"/>
      <c r="H274" s="98"/>
      <c r="I274" s="98"/>
      <c r="J274" s="98"/>
      <c r="K274" s="98"/>
    </row>
    <row r="275" spans="2:12" ht="20.100000000000001" customHeight="1" thickBot="1">
      <c r="B275" s="152" t="s">
        <v>853</v>
      </c>
      <c r="C275" s="83">
        <v>328726</v>
      </c>
      <c r="D275" s="83">
        <v>676555</v>
      </c>
      <c r="E275" s="83">
        <v>4662971</v>
      </c>
      <c r="F275" s="83">
        <f>D275+F263</f>
        <v>4974078</v>
      </c>
      <c r="G275" s="83">
        <f>F275+G263</f>
        <v>831196</v>
      </c>
      <c r="H275" s="83">
        <f>G275+H263</f>
        <v>540614</v>
      </c>
      <c r="I275" s="83">
        <f>H275+I263</f>
        <v>0</v>
      </c>
      <c r="J275" s="83">
        <f>I275+J263</f>
        <v>0</v>
      </c>
      <c r="K275" s="83">
        <f>J275+K263</f>
        <v>0</v>
      </c>
    </row>
    <row r="276" spans="2:12" s="569" customFormat="1" ht="15.75" hidden="1" thickTop="1">
      <c r="B276" s="155"/>
      <c r="C276" s="132">
        <f>'Budget Detail FY 2013-20'!L446</f>
        <v>328726</v>
      </c>
      <c r="D276" s="132">
        <f>'Budget Detail FY 2013-20'!M446</f>
        <v>676555</v>
      </c>
      <c r="E276" s="132">
        <f>'Budget Detail FY 2013-20'!N446</f>
        <v>4662971</v>
      </c>
      <c r="F276" s="132">
        <f>'Budget Detail FY 2013-20'!O446</f>
        <v>4974078</v>
      </c>
      <c r="G276" s="132">
        <f>'Budget Detail FY 2013-20'!P446</f>
        <v>831196</v>
      </c>
      <c r="H276" s="132">
        <f>'Budget Detail FY 2013-20'!Q446</f>
        <v>540614</v>
      </c>
      <c r="I276" s="132">
        <f>'Budget Detail FY 2013-20'!R446</f>
        <v>0</v>
      </c>
      <c r="J276" s="132">
        <f>'Budget Detail FY 2013-20'!S446</f>
        <v>0</v>
      </c>
      <c r="K276" s="132">
        <f>'Budget Detail FY 2013-20'!T446</f>
        <v>0</v>
      </c>
      <c r="L276" s="571" t="s">
        <v>1150</v>
      </c>
    </row>
    <row r="277" spans="2:12" s="570" customFormat="1" hidden="1">
      <c r="B277" s="157"/>
      <c r="C277" s="133">
        <f>C275-C276</f>
        <v>0</v>
      </c>
      <c r="D277" s="133">
        <f t="shared" ref="D277:K277" si="46">D275-D276</f>
        <v>0</v>
      </c>
      <c r="E277" s="133">
        <f t="shared" si="46"/>
        <v>0</v>
      </c>
      <c r="F277" s="133">
        <f t="shared" si="46"/>
        <v>0</v>
      </c>
      <c r="G277" s="133">
        <f t="shared" si="46"/>
        <v>0</v>
      </c>
      <c r="H277" s="133">
        <f t="shared" si="46"/>
        <v>0</v>
      </c>
      <c r="I277" s="133">
        <f t="shared" si="46"/>
        <v>0</v>
      </c>
      <c r="J277" s="133">
        <f t="shared" si="46"/>
        <v>0</v>
      </c>
      <c r="K277" s="133">
        <f t="shared" si="46"/>
        <v>0</v>
      </c>
      <c r="L277" s="571" t="s">
        <v>1151</v>
      </c>
    </row>
    <row r="278" spans="2:12" ht="15.75" thickTop="1"/>
    <row r="292" spans="2:11" ht="7.5" customHeight="1"/>
    <row r="293" spans="2:11">
      <c r="B293" s="740" t="s">
        <v>1039</v>
      </c>
      <c r="C293" s="740"/>
      <c r="D293" s="740"/>
      <c r="E293" s="740"/>
      <c r="F293" s="740"/>
      <c r="G293" s="740"/>
      <c r="H293" s="740"/>
      <c r="I293" s="740"/>
      <c r="J293" s="740"/>
      <c r="K293" s="740"/>
    </row>
    <row r="294" spans="2:11" ht="15" customHeight="1">
      <c r="B294" s="65"/>
      <c r="C294" s="3"/>
      <c r="D294" s="2"/>
      <c r="E294" s="2"/>
      <c r="F294" s="2"/>
      <c r="G294" s="2"/>
      <c r="H294" s="2"/>
      <c r="I294" s="2"/>
      <c r="J294" s="2"/>
      <c r="K294" s="2"/>
    </row>
    <row r="295" spans="2:11" ht="12.75" customHeight="1">
      <c r="B295" s="741" t="s">
        <v>1474</v>
      </c>
      <c r="C295" s="741"/>
      <c r="D295" s="741"/>
      <c r="E295" s="741"/>
      <c r="F295" s="741"/>
      <c r="G295" s="741"/>
      <c r="H295" s="741"/>
      <c r="I295" s="741"/>
      <c r="J295" s="741"/>
      <c r="K295" s="741"/>
    </row>
    <row r="296" spans="2:11" ht="12.75" customHeight="1">
      <c r="B296" s="741"/>
      <c r="C296" s="741"/>
      <c r="D296" s="741"/>
      <c r="E296" s="741"/>
      <c r="F296" s="741"/>
      <c r="G296" s="741"/>
      <c r="H296" s="741"/>
      <c r="I296" s="741"/>
      <c r="J296" s="741"/>
      <c r="K296" s="741"/>
    </row>
    <row r="297" spans="2:11" ht="12.75" customHeight="1">
      <c r="B297" s="741"/>
      <c r="C297" s="741"/>
      <c r="D297" s="741"/>
      <c r="E297" s="741"/>
      <c r="F297" s="741"/>
      <c r="G297" s="741"/>
      <c r="H297" s="741"/>
      <c r="I297" s="741"/>
      <c r="J297" s="741"/>
      <c r="K297" s="741"/>
    </row>
    <row r="298" spans="2:11" ht="15" customHeight="1">
      <c r="B298" s="741"/>
      <c r="C298" s="741"/>
      <c r="D298" s="741"/>
      <c r="E298" s="741"/>
      <c r="F298" s="741"/>
      <c r="G298" s="741"/>
      <c r="H298" s="741"/>
      <c r="I298" s="741"/>
      <c r="J298" s="741"/>
      <c r="K298" s="741"/>
    </row>
    <row r="299" spans="2:11" ht="12" customHeight="1">
      <c r="B299" s="563"/>
      <c r="C299" s="22"/>
      <c r="D299" s="22"/>
      <c r="E299" s="22"/>
      <c r="F299" s="22"/>
      <c r="G299" s="22"/>
      <c r="H299" s="2"/>
      <c r="I299" s="2"/>
      <c r="J299" s="2"/>
      <c r="K299" s="2"/>
    </row>
    <row r="300" spans="2:11">
      <c r="B300" s="5"/>
      <c r="C300" s="65"/>
      <c r="D300" s="66"/>
      <c r="E300" s="65" t="s">
        <v>270</v>
      </c>
      <c r="F300" s="1"/>
      <c r="G300" s="1"/>
      <c r="H300" s="1"/>
      <c r="I300" s="1"/>
      <c r="J300" s="1"/>
      <c r="K300" s="1"/>
    </row>
    <row r="301" spans="2:11">
      <c r="B301" s="66"/>
      <c r="C301" s="65" t="s">
        <v>257</v>
      </c>
      <c r="D301" s="49" t="s">
        <v>258</v>
      </c>
      <c r="E301" s="66" t="s">
        <v>832</v>
      </c>
      <c r="F301" s="66" t="s">
        <v>270</v>
      </c>
      <c r="G301" s="66" t="s">
        <v>271</v>
      </c>
      <c r="H301" s="66" t="s">
        <v>272</v>
      </c>
      <c r="I301" s="66" t="s">
        <v>996</v>
      </c>
      <c r="J301" s="66" t="s">
        <v>1101</v>
      </c>
      <c r="K301" s="66" t="s">
        <v>1136</v>
      </c>
    </row>
    <row r="302" spans="2:11" ht="15.75" thickBot="1">
      <c r="B302" s="169"/>
      <c r="C302" s="68" t="s">
        <v>1</v>
      </c>
      <c r="D302" s="68" t="s">
        <v>1</v>
      </c>
      <c r="E302" s="68" t="s">
        <v>787</v>
      </c>
      <c r="F302" s="68" t="s">
        <v>19</v>
      </c>
      <c r="G302" s="68" t="s">
        <v>832</v>
      </c>
      <c r="H302" s="68" t="s">
        <v>19</v>
      </c>
      <c r="I302" s="68" t="s">
        <v>19</v>
      </c>
      <c r="J302" s="68" t="s">
        <v>19</v>
      </c>
      <c r="K302" s="68" t="s">
        <v>19</v>
      </c>
    </row>
    <row r="303" spans="2:11" ht="7.5" customHeight="1">
      <c r="B303" s="64"/>
      <c r="C303" s="170"/>
      <c r="D303" s="2"/>
      <c r="E303" s="2"/>
      <c r="F303" s="2"/>
      <c r="G303" s="2"/>
      <c r="H303" s="2"/>
      <c r="I303" s="2"/>
      <c r="J303" s="2"/>
      <c r="K303" s="2"/>
    </row>
    <row r="304" spans="2:11">
      <c r="B304" s="158" t="s">
        <v>833</v>
      </c>
      <c r="C304" s="2"/>
      <c r="D304" s="2"/>
      <c r="E304" s="2"/>
      <c r="F304" s="2"/>
      <c r="G304" s="2"/>
      <c r="H304" s="2"/>
      <c r="I304" s="2"/>
      <c r="J304" s="2"/>
      <c r="K304" s="2"/>
    </row>
    <row r="305" spans="2:12" ht="20.100000000000001" customHeight="1">
      <c r="B305" s="507" t="s">
        <v>836</v>
      </c>
      <c r="C305" s="2">
        <f>SUM('Budget Detail FY 2013-20'!L450:L455)</f>
        <v>84459</v>
      </c>
      <c r="D305" s="2">
        <f>SUM('Budget Detail FY 2013-20'!M450:M455)</f>
        <v>76414</v>
      </c>
      <c r="E305" s="2">
        <f>SUM('Budget Detail FY 2013-20'!N450:N455)</f>
        <v>49275</v>
      </c>
      <c r="F305" s="2">
        <f>SUM('Budget Detail FY 2013-20'!O450:O455)</f>
        <v>49275</v>
      </c>
      <c r="G305" s="2">
        <f>SUM('Budget Detail FY 2013-20'!P450:P455)</f>
        <v>49275</v>
      </c>
      <c r="H305" s="2">
        <f>SUM('Budget Detail FY 2013-20'!Q450:Q455)</f>
        <v>49275</v>
      </c>
      <c r="I305" s="2">
        <f>SUM('Budget Detail FY 2013-20'!R450:R455)</f>
        <v>49275</v>
      </c>
      <c r="J305" s="2">
        <f>SUM('Budget Detail FY 2013-20'!S450:S455)</f>
        <v>49275</v>
      </c>
      <c r="K305" s="2">
        <f>SUM('Budget Detail FY 2013-20'!T450:T455)</f>
        <v>49275</v>
      </c>
    </row>
    <row r="306" spans="2:12" ht="20.100000000000001" customHeight="1">
      <c r="B306" s="507" t="s">
        <v>837</v>
      </c>
      <c r="C306" s="2">
        <f>SUM('Budget Detail FY 2013-20'!L456:L458)</f>
        <v>16739</v>
      </c>
      <c r="D306" s="2">
        <f>SUM('Budget Detail FY 2013-20'!M456:M458)</f>
        <v>8253</v>
      </c>
      <c r="E306" s="2">
        <f>SUM('Budget Detail FY 2013-20'!N456:N458)</f>
        <v>10750</v>
      </c>
      <c r="F306" s="2">
        <f>SUM('Budget Detail FY 2013-20'!O456:O458)</f>
        <v>12750</v>
      </c>
      <c r="G306" s="2">
        <f>SUM('Budget Detail FY 2013-20'!P456:P458)</f>
        <v>12750</v>
      </c>
      <c r="H306" s="2">
        <f>SUM('Budget Detail FY 2013-20'!Q456:Q458)</f>
        <v>12750</v>
      </c>
      <c r="I306" s="2">
        <f>SUM('Budget Detail FY 2013-20'!R456:R458)</f>
        <v>12750</v>
      </c>
      <c r="J306" s="2">
        <f>SUM('Budget Detail FY 2013-20'!S456:S458)</f>
        <v>12750</v>
      </c>
      <c r="K306" s="2">
        <f>SUM('Budget Detail FY 2013-20'!T456:T458)</f>
        <v>12750</v>
      </c>
    </row>
    <row r="307" spans="2:12" ht="20.100000000000001" customHeight="1">
      <c r="B307" s="507" t="s">
        <v>838</v>
      </c>
      <c r="C307" s="2">
        <f>SUM('Budget Detail FY 2013-20'!L459:L462)</f>
        <v>6725</v>
      </c>
      <c r="D307" s="2">
        <f>SUM('Budget Detail FY 2013-20'!M459:M462)</f>
        <v>157495</v>
      </c>
      <c r="E307" s="2">
        <f>SUM('Budget Detail FY 2013-20'!N459:N462)</f>
        <v>262078</v>
      </c>
      <c r="F307" s="2">
        <f>SUM('Budget Detail FY 2013-20'!O459:O462)</f>
        <v>257439</v>
      </c>
      <c r="G307" s="2">
        <f>SUM('Budget Detail FY 2013-20'!P459:P462)</f>
        <v>373063</v>
      </c>
      <c r="H307" s="2">
        <f>SUM('Budget Detail FY 2013-20'!Q459:Q462)</f>
        <v>194232</v>
      </c>
      <c r="I307" s="2">
        <f>SUM('Budget Detail FY 2013-20'!R459:R462)</f>
        <v>194232</v>
      </c>
      <c r="J307" s="2">
        <f>SUM('Budget Detail FY 2013-20'!S459:S462)</f>
        <v>194232</v>
      </c>
      <c r="K307" s="2">
        <f>SUM('Budget Detail FY 2013-20'!T459:T462)</f>
        <v>194232</v>
      </c>
    </row>
    <row r="308" spans="2:12" ht="20.100000000000001" customHeight="1">
      <c r="B308" s="507" t="s">
        <v>839</v>
      </c>
      <c r="C308" s="2">
        <f>SUM('Budget Detail FY 2013-20'!L463:L465)</f>
        <v>567</v>
      </c>
      <c r="D308" s="2">
        <f>SUM('Budget Detail FY 2013-20'!M463:M465)</f>
        <v>446</v>
      </c>
      <c r="E308" s="2">
        <f>SUM('Budget Detail FY 2013-20'!N463:N465)</f>
        <v>450</v>
      </c>
      <c r="F308" s="2">
        <f>SUM('Budget Detail FY 2013-20'!O463:O465)</f>
        <v>275</v>
      </c>
      <c r="G308" s="2">
        <f>SUM('Budget Detail FY 2013-20'!P463:P465)</f>
        <v>250</v>
      </c>
      <c r="H308" s="2">
        <f>SUM('Budget Detail FY 2013-20'!Q463:Q465)</f>
        <v>250</v>
      </c>
      <c r="I308" s="2">
        <f>SUM('Budget Detail FY 2013-20'!R463:R465)</f>
        <v>250</v>
      </c>
      <c r="J308" s="2">
        <f>SUM('Budget Detail FY 2013-20'!S463:S465)</f>
        <v>250</v>
      </c>
      <c r="K308" s="2">
        <f>SUM('Budget Detail FY 2013-20'!T463:T465)</f>
        <v>250</v>
      </c>
    </row>
    <row r="309" spans="2:12" ht="20.100000000000001" customHeight="1">
      <c r="B309" s="507" t="s">
        <v>840</v>
      </c>
      <c r="C309" s="2">
        <f>'Budget Detail FY 2013-20'!L466</f>
        <v>0</v>
      </c>
      <c r="D309" s="2">
        <f>'Budget Detail FY 2013-20'!M466</f>
        <v>50000</v>
      </c>
      <c r="E309" s="2">
        <f>'Budget Detail FY 2013-20'!N466</f>
        <v>50000</v>
      </c>
      <c r="F309" s="2">
        <f>'Budget Detail FY 2013-20'!O466</f>
        <v>99000</v>
      </c>
      <c r="G309" s="2">
        <f>'Budget Detail FY 2013-20'!P466</f>
        <v>0</v>
      </c>
      <c r="H309" s="2">
        <f>'Budget Detail FY 2013-20'!Q466</f>
        <v>0</v>
      </c>
      <c r="I309" s="2">
        <f>'Budget Detail FY 2013-20'!R466</f>
        <v>0</v>
      </c>
      <c r="J309" s="2">
        <f>'Budget Detail FY 2013-20'!S466</f>
        <v>0</v>
      </c>
      <c r="K309" s="2">
        <f>'Budget Detail FY 2013-20'!T466</f>
        <v>0</v>
      </c>
    </row>
    <row r="310" spans="2:12" ht="20.100000000000001" customHeight="1">
      <c r="B310" s="507" t="s">
        <v>841</v>
      </c>
      <c r="C310" s="2">
        <f>SUM('Budget Detail FY 2013-20'!L467:L468)</f>
        <v>966</v>
      </c>
      <c r="D310" s="2">
        <f>SUM('Budget Detail FY 2013-20'!M467:M468)</f>
        <v>4994</v>
      </c>
      <c r="E310" s="2">
        <f>SUM('Budget Detail FY 2013-20'!N467:N468)</f>
        <v>1000</v>
      </c>
      <c r="F310" s="2">
        <f>SUM('Budget Detail FY 2013-20'!O467:O468)</f>
        <v>1721</v>
      </c>
      <c r="G310" s="2">
        <f>SUM('Budget Detail FY 2013-20'!P467:P468)</f>
        <v>1000</v>
      </c>
      <c r="H310" s="2">
        <f>SUM('Budget Detail FY 2013-20'!Q467:Q468)</f>
        <v>1000</v>
      </c>
      <c r="I310" s="2">
        <f>SUM('Budget Detail FY 2013-20'!R467:R468)</f>
        <v>1000</v>
      </c>
      <c r="J310" s="2">
        <f>SUM('Budget Detail FY 2013-20'!S467:S468)</f>
        <v>1000</v>
      </c>
      <c r="K310" s="2">
        <f>SUM('Budget Detail FY 2013-20'!T467:T468)</f>
        <v>1000</v>
      </c>
    </row>
    <row r="311" spans="2:12" ht="20.100000000000001" customHeight="1">
      <c r="B311" s="507" t="s">
        <v>842</v>
      </c>
      <c r="C311" s="2">
        <f>SUM('Budget Detail FY 2013-20'!L469:L471)</f>
        <v>2700</v>
      </c>
      <c r="D311" s="2">
        <f>SUM('Budget Detail FY 2013-20'!M469:M471)</f>
        <v>7825</v>
      </c>
      <c r="E311" s="2">
        <f>SUM('Budget Detail FY 2013-20'!N469:N471)</f>
        <v>61000</v>
      </c>
      <c r="F311" s="2">
        <f>SUM('Budget Detail FY 2013-20'!O469:O471)</f>
        <v>61000</v>
      </c>
      <c r="G311" s="2">
        <f>SUM('Budget Detail FY 2013-20'!P469:P471)</f>
        <v>36000</v>
      </c>
      <c r="H311" s="2">
        <f>SUM('Budget Detail FY 2013-20'!Q469:Q471)</f>
        <v>1000</v>
      </c>
      <c r="I311" s="2">
        <f>SUM('Budget Detail FY 2013-20'!R469:R471)</f>
        <v>1000</v>
      </c>
      <c r="J311" s="2">
        <f>SUM('Budget Detail FY 2013-20'!S469:S471)</f>
        <v>1000</v>
      </c>
      <c r="K311" s="2">
        <f>SUM('Budget Detail FY 2013-20'!T469:T471)</f>
        <v>1000</v>
      </c>
    </row>
    <row r="312" spans="2:12" ht="20.100000000000001" customHeight="1" thickBot="1">
      <c r="B312" s="153" t="s">
        <v>843</v>
      </c>
      <c r="C312" s="150">
        <f>SUM(C305:C311)</f>
        <v>112156</v>
      </c>
      <c r="D312" s="150">
        <f t="shared" ref="D312:K312" si="47">SUM(D305:D311)</f>
        <v>305427</v>
      </c>
      <c r="E312" s="150">
        <f t="shared" si="47"/>
        <v>434553</v>
      </c>
      <c r="F312" s="150">
        <f t="shared" si="47"/>
        <v>481460</v>
      </c>
      <c r="G312" s="150">
        <f t="shared" si="47"/>
        <v>472338</v>
      </c>
      <c r="H312" s="150">
        <f t="shared" si="47"/>
        <v>258507</v>
      </c>
      <c r="I312" s="150">
        <f t="shared" si="47"/>
        <v>258507</v>
      </c>
      <c r="J312" s="150">
        <f t="shared" si="47"/>
        <v>258507</v>
      </c>
      <c r="K312" s="150">
        <f t="shared" si="47"/>
        <v>258507</v>
      </c>
    </row>
    <row r="313" spans="2:12" s="569" customFormat="1" hidden="1">
      <c r="B313" s="155"/>
      <c r="C313" s="132">
        <f>'Budget Detail FY 2013-20'!L473</f>
        <v>112156</v>
      </c>
      <c r="D313" s="132">
        <f>'Budget Detail FY 2013-20'!M473</f>
        <v>305427</v>
      </c>
      <c r="E313" s="132">
        <f>'Budget Detail FY 2013-20'!N473</f>
        <v>434553</v>
      </c>
      <c r="F313" s="132">
        <f>'Budget Detail FY 2013-20'!O473</f>
        <v>481460</v>
      </c>
      <c r="G313" s="132">
        <f>'Budget Detail FY 2013-20'!P473</f>
        <v>472338</v>
      </c>
      <c r="H313" s="132">
        <f>'Budget Detail FY 2013-20'!Q473</f>
        <v>258507</v>
      </c>
      <c r="I313" s="132">
        <f>'Budget Detail FY 2013-20'!R473</f>
        <v>258507</v>
      </c>
      <c r="J313" s="132">
        <f>'Budget Detail FY 2013-20'!S473</f>
        <v>258507</v>
      </c>
      <c r="K313" s="132">
        <f>'Budget Detail FY 2013-20'!T473</f>
        <v>258507</v>
      </c>
      <c r="L313" s="571" t="s">
        <v>1150</v>
      </c>
    </row>
    <row r="314" spans="2:12" s="570" customFormat="1" hidden="1">
      <c r="B314" s="157"/>
      <c r="C314" s="133">
        <f>C312-C313</f>
        <v>0</v>
      </c>
      <c r="D314" s="133">
        <f t="shared" ref="D314:K314" si="48">D312-D313</f>
        <v>0</v>
      </c>
      <c r="E314" s="133">
        <f t="shared" si="48"/>
        <v>0</v>
      </c>
      <c r="F314" s="133">
        <f t="shared" si="48"/>
        <v>0</v>
      </c>
      <c r="G314" s="133">
        <f t="shared" si="48"/>
        <v>0</v>
      </c>
      <c r="H314" s="133">
        <f t="shared" si="48"/>
        <v>0</v>
      </c>
      <c r="I314" s="133">
        <f t="shared" si="48"/>
        <v>0</v>
      </c>
      <c r="J314" s="133">
        <f t="shared" si="48"/>
        <v>0</v>
      </c>
      <c r="K314" s="133">
        <f t="shared" si="48"/>
        <v>0</v>
      </c>
      <c r="L314" s="571" t="s">
        <v>1151</v>
      </c>
    </row>
    <row r="315" spans="2:12" ht="7.5" customHeight="1">
      <c r="B315" s="1"/>
      <c r="C315" s="2"/>
      <c r="D315" s="2"/>
      <c r="E315" s="2"/>
      <c r="F315" s="2"/>
      <c r="G315" s="2"/>
      <c r="H315" s="2"/>
      <c r="I315" s="2"/>
      <c r="J315" s="2"/>
      <c r="K315" s="2"/>
    </row>
    <row r="316" spans="2:12">
      <c r="B316" s="158" t="s">
        <v>1042</v>
      </c>
      <c r="C316" s="2"/>
      <c r="D316" s="2"/>
      <c r="E316" s="2"/>
      <c r="F316" s="2"/>
      <c r="G316" s="2"/>
      <c r="H316" s="2"/>
      <c r="I316" s="2"/>
      <c r="J316" s="2"/>
      <c r="K316" s="2"/>
    </row>
    <row r="317" spans="2:12" ht="20.100000000000001" customHeight="1">
      <c r="B317" s="508" t="s">
        <v>846</v>
      </c>
      <c r="C317" s="2">
        <f>SUM('Budget Detail FY 2013-20'!L476:L478)</f>
        <v>17710</v>
      </c>
      <c r="D317" s="2">
        <f>SUM('Budget Detail FY 2013-20'!M476:M478)</f>
        <v>22521</v>
      </c>
      <c r="E317" s="2">
        <f>SUM('Budget Detail FY 2013-20'!N476:N478)</f>
        <v>17667</v>
      </c>
      <c r="F317" s="2">
        <f>SUM('Budget Detail FY 2013-20'!O476:O478)</f>
        <v>17667</v>
      </c>
      <c r="G317" s="2">
        <f>SUM('Budget Detail FY 2013-20'!P476:P478)</f>
        <v>17667</v>
      </c>
      <c r="H317" s="2">
        <f>SUM('Budget Detail FY 2013-20'!Q476:Q478)</f>
        <v>17667</v>
      </c>
      <c r="I317" s="2">
        <f>SUM('Budget Detail FY 2013-20'!R476:R478)</f>
        <v>17667</v>
      </c>
      <c r="J317" s="2">
        <f>SUM('Budget Detail FY 2013-20'!S476:S478)</f>
        <v>17667</v>
      </c>
      <c r="K317" s="2">
        <f>SUM('Budget Detail FY 2013-20'!T476:T478)</f>
        <v>17667</v>
      </c>
    </row>
    <row r="318" spans="2:12" ht="20.100000000000001" customHeight="1">
      <c r="B318" s="508" t="s">
        <v>848</v>
      </c>
      <c r="C318" s="2">
        <f>SUM('Budget Detail FY 2013-20'!L479:L480)</f>
        <v>145176</v>
      </c>
      <c r="D318" s="2">
        <f>SUM('Budget Detail FY 2013-20'!M479:M480)</f>
        <v>93750</v>
      </c>
      <c r="E318" s="2">
        <f>SUM('Budget Detail FY 2013-20'!N479:N480)</f>
        <v>110000</v>
      </c>
      <c r="F318" s="2">
        <f>SUM('Budget Detail FY 2013-20'!O479:O480)</f>
        <v>112242</v>
      </c>
      <c r="G318" s="2">
        <f>SUM('Budget Detail FY 2013-20'!P479:P480)</f>
        <v>204000</v>
      </c>
      <c r="H318" s="2">
        <f>SUM('Budget Detail FY 2013-20'!Q479:Q480)</f>
        <v>159000</v>
      </c>
      <c r="I318" s="2">
        <f>SUM('Budget Detail FY 2013-20'!R479:R480)</f>
        <v>159000</v>
      </c>
      <c r="J318" s="2">
        <f>SUM('Budget Detail FY 2013-20'!S479:S480)</f>
        <v>159000</v>
      </c>
      <c r="K318" s="2">
        <f>SUM('Budget Detail FY 2013-20'!T479:T480)</f>
        <v>159000</v>
      </c>
    </row>
    <row r="319" spans="2:12" ht="20.100000000000001" customHeight="1" thickBot="1">
      <c r="B319" s="153" t="s">
        <v>1047</v>
      </c>
      <c r="C319" s="177">
        <f t="shared" ref="C319:K319" si="49">SUM(C317:C318)</f>
        <v>162886</v>
      </c>
      <c r="D319" s="177">
        <f t="shared" si="49"/>
        <v>116271</v>
      </c>
      <c r="E319" s="177">
        <f t="shared" si="49"/>
        <v>127667</v>
      </c>
      <c r="F319" s="177">
        <f t="shared" si="49"/>
        <v>129909</v>
      </c>
      <c r="G319" s="177">
        <f t="shared" si="49"/>
        <v>221667</v>
      </c>
      <c r="H319" s="177">
        <f t="shared" si="49"/>
        <v>176667</v>
      </c>
      <c r="I319" s="177">
        <f t="shared" si="49"/>
        <v>176667</v>
      </c>
      <c r="J319" s="177">
        <f t="shared" si="49"/>
        <v>176667</v>
      </c>
      <c r="K319" s="177">
        <f t="shared" si="49"/>
        <v>176667</v>
      </c>
    </row>
    <row r="320" spans="2:12" s="569" customFormat="1" hidden="1">
      <c r="B320" s="155"/>
      <c r="C320" s="132">
        <f>'Budget Detail FY 2013-20'!L481</f>
        <v>162886</v>
      </c>
      <c r="D320" s="132">
        <f>'Budget Detail FY 2013-20'!M481</f>
        <v>116271</v>
      </c>
      <c r="E320" s="132">
        <f>'Budget Detail FY 2013-20'!N481</f>
        <v>127667</v>
      </c>
      <c r="F320" s="132">
        <f>'Budget Detail FY 2013-20'!O481</f>
        <v>129909</v>
      </c>
      <c r="G320" s="132">
        <f>'Budget Detail FY 2013-20'!P481</f>
        <v>221667</v>
      </c>
      <c r="H320" s="132">
        <f>'Budget Detail FY 2013-20'!Q481</f>
        <v>176667</v>
      </c>
      <c r="I320" s="132">
        <f>'Budget Detail FY 2013-20'!R481</f>
        <v>176667</v>
      </c>
      <c r="J320" s="132">
        <f>'Budget Detail FY 2013-20'!S481</f>
        <v>176667</v>
      </c>
      <c r="K320" s="132">
        <f>'Budget Detail FY 2013-20'!T481</f>
        <v>176667</v>
      </c>
      <c r="L320" s="571" t="s">
        <v>1150</v>
      </c>
    </row>
    <row r="321" spans="2:12" s="570" customFormat="1" hidden="1">
      <c r="B321" s="157"/>
      <c r="C321" s="163">
        <f>C319-C320</f>
        <v>0</v>
      </c>
      <c r="D321" s="163">
        <f t="shared" ref="D321:K321" si="50">D319-D320</f>
        <v>0</v>
      </c>
      <c r="E321" s="163">
        <f t="shared" si="50"/>
        <v>0</v>
      </c>
      <c r="F321" s="163">
        <f t="shared" si="50"/>
        <v>0</v>
      </c>
      <c r="G321" s="163">
        <f t="shared" si="50"/>
        <v>0</v>
      </c>
      <c r="H321" s="163">
        <f t="shared" si="50"/>
        <v>0</v>
      </c>
      <c r="I321" s="163">
        <f t="shared" si="50"/>
        <v>0</v>
      </c>
      <c r="J321" s="163">
        <f t="shared" si="50"/>
        <v>0</v>
      </c>
      <c r="K321" s="163">
        <f t="shared" si="50"/>
        <v>0</v>
      </c>
      <c r="L321" s="571" t="s">
        <v>1151</v>
      </c>
    </row>
    <row r="322" spans="2:12" ht="7.5" customHeight="1">
      <c r="B322" s="160"/>
      <c r="C322" s="4"/>
      <c r="D322" s="4"/>
      <c r="E322" s="4"/>
      <c r="F322" s="4"/>
      <c r="G322" s="4"/>
      <c r="H322" s="4"/>
      <c r="I322" s="4"/>
      <c r="J322" s="4"/>
      <c r="K322" s="4"/>
    </row>
    <row r="323" spans="2:12">
      <c r="B323" s="158" t="s">
        <v>1043</v>
      </c>
      <c r="C323" s="2"/>
      <c r="D323" s="2"/>
      <c r="E323" s="2"/>
      <c r="F323" s="2"/>
      <c r="G323" s="2"/>
      <c r="H323" s="2"/>
      <c r="I323" s="2"/>
      <c r="J323" s="2"/>
      <c r="K323" s="2"/>
    </row>
    <row r="324" spans="2:12" ht="20.100000000000001" customHeight="1">
      <c r="B324" s="508" t="s">
        <v>846</v>
      </c>
      <c r="C324" s="2">
        <f>SUM('Budget Detail FY 2013-20'!L484:L486)</f>
        <v>26198</v>
      </c>
      <c r="D324" s="2">
        <f>SUM('Budget Detail FY 2013-20'!M484:M486)</f>
        <v>26929</v>
      </c>
      <c r="E324" s="2">
        <f>SUM('Budget Detail FY 2013-20'!N484:N486)</f>
        <v>6500</v>
      </c>
      <c r="F324" s="2">
        <f>SUM('Budget Detail FY 2013-20'!O484:O486)</f>
        <v>5039</v>
      </c>
      <c r="G324" s="2">
        <f>SUM('Budget Detail FY 2013-20'!P484:P486)</f>
        <v>6500</v>
      </c>
      <c r="H324" s="2">
        <f>SUM('Budget Detail FY 2013-20'!Q484:Q486)</f>
        <v>6500</v>
      </c>
      <c r="I324" s="2">
        <f>SUM('Budget Detail FY 2013-20'!R484:R486)</f>
        <v>6500</v>
      </c>
      <c r="J324" s="2">
        <f>SUM('Budget Detail FY 2013-20'!S484:S486)</f>
        <v>6500</v>
      </c>
      <c r="K324" s="2">
        <f>SUM('Budget Detail FY 2013-20'!T484:T486)</f>
        <v>6500</v>
      </c>
    </row>
    <row r="325" spans="2:12" ht="20.100000000000001" customHeight="1">
      <c r="B325" s="508" t="s">
        <v>847</v>
      </c>
      <c r="C325" s="2">
        <f>'Budget Detail FY 2013-20'!L487</f>
        <v>0</v>
      </c>
      <c r="D325" s="2">
        <f>'Budget Detail FY 2013-20'!M487</f>
        <v>0</v>
      </c>
      <c r="E325" s="2">
        <f>'Budget Detail FY 2013-20'!N487</f>
        <v>2000</v>
      </c>
      <c r="F325" s="2">
        <f>'Budget Detail FY 2013-20'!O487</f>
        <v>2000</v>
      </c>
      <c r="G325" s="2">
        <f>'Budget Detail FY 2013-20'!P487</f>
        <v>2000</v>
      </c>
      <c r="H325" s="2">
        <f>'Budget Detail FY 2013-20'!Q487</f>
        <v>2000</v>
      </c>
      <c r="I325" s="2">
        <f>'Budget Detail FY 2013-20'!R487</f>
        <v>2000</v>
      </c>
      <c r="J325" s="2">
        <f>'Budget Detail FY 2013-20'!S487</f>
        <v>2000</v>
      </c>
      <c r="K325" s="2">
        <f>'Budget Detail FY 2013-20'!T487</f>
        <v>2000</v>
      </c>
    </row>
    <row r="326" spans="2:12" ht="20.100000000000001" customHeight="1">
      <c r="B326" s="508" t="s">
        <v>848</v>
      </c>
      <c r="C326" s="2">
        <f>SUM('Budget Detail FY 2013-20'!L488:L489)</f>
        <v>0</v>
      </c>
      <c r="D326" s="2">
        <f>SUM('Budget Detail FY 2013-20'!M488:M489)</f>
        <v>48689</v>
      </c>
      <c r="E326" s="2">
        <f>SUM('Budget Detail FY 2013-20'!N488:N489)</f>
        <v>160000</v>
      </c>
      <c r="F326" s="2">
        <f>SUM('Budget Detail FY 2013-20'!O488:O489)</f>
        <v>160000</v>
      </c>
      <c r="G326" s="2">
        <f>SUM('Budget Detail FY 2013-20'!P488:P489)</f>
        <v>185000</v>
      </c>
      <c r="H326" s="2">
        <f>SUM('Budget Detail FY 2013-20'!Q488:Q489)</f>
        <v>0</v>
      </c>
      <c r="I326" s="2">
        <f>SUM('Budget Detail FY 2013-20'!R488:R489)</f>
        <v>0</v>
      </c>
      <c r="J326" s="2">
        <f>SUM('Budget Detail FY 2013-20'!S488:S489)</f>
        <v>0</v>
      </c>
      <c r="K326" s="2">
        <f>SUM('Budget Detail FY 2013-20'!T488:T489)</f>
        <v>0</v>
      </c>
    </row>
    <row r="327" spans="2:12" ht="20.100000000000001" customHeight="1">
      <c r="B327" s="508" t="s">
        <v>772</v>
      </c>
      <c r="C327" s="2">
        <f>SUM('Budget Detail FY 2013-20'!L491:L492)</f>
        <v>82295</v>
      </c>
      <c r="D327" s="2">
        <f>SUM('Budget Detail FY 2013-20'!M491:M492)</f>
        <v>76054</v>
      </c>
      <c r="E327" s="2">
        <f>SUM('Budget Detail FY 2013-20'!N491:N492)</f>
        <v>70816</v>
      </c>
      <c r="F327" s="2">
        <f>SUM('Budget Detail FY 2013-20'!O491:O492)</f>
        <v>70816</v>
      </c>
      <c r="G327" s="2">
        <f>SUM('Budget Detail FY 2013-20'!P491:P492)</f>
        <v>70815</v>
      </c>
      <c r="H327" s="2">
        <f>SUM('Budget Detail FY 2013-20'!Q491:Q492)</f>
        <v>70815</v>
      </c>
      <c r="I327" s="2">
        <f>SUM('Budget Detail FY 2013-20'!R491:R492)</f>
        <v>70815</v>
      </c>
      <c r="J327" s="2">
        <f>SUM('Budget Detail FY 2013-20'!S491:S492)</f>
        <v>70815</v>
      </c>
      <c r="K327" s="2">
        <f>SUM('Budget Detail FY 2013-20'!T491:T492)</f>
        <v>70815</v>
      </c>
    </row>
    <row r="328" spans="2:12" ht="20.100000000000001" customHeight="1" thickBot="1">
      <c r="B328" s="153" t="s">
        <v>1047</v>
      </c>
      <c r="C328" s="177">
        <f>SUM(C324:C327)</f>
        <v>108493</v>
      </c>
      <c r="D328" s="177">
        <f t="shared" ref="D328:K328" si="51">SUM(D324:D327)</f>
        <v>151672</v>
      </c>
      <c r="E328" s="177">
        <f t="shared" si="51"/>
        <v>239316</v>
      </c>
      <c r="F328" s="177">
        <f t="shared" si="51"/>
        <v>237855</v>
      </c>
      <c r="G328" s="177">
        <f t="shared" si="51"/>
        <v>264315</v>
      </c>
      <c r="H328" s="177">
        <f t="shared" si="51"/>
        <v>79315</v>
      </c>
      <c r="I328" s="177">
        <f t="shared" si="51"/>
        <v>79315</v>
      </c>
      <c r="J328" s="177">
        <f t="shared" si="51"/>
        <v>79315</v>
      </c>
      <c r="K328" s="177">
        <f t="shared" si="51"/>
        <v>79315</v>
      </c>
    </row>
    <row r="329" spans="2:12" s="569" customFormat="1" hidden="1">
      <c r="B329" s="155"/>
      <c r="C329" s="132">
        <f>'Budget Detail FY 2013-20'!L493</f>
        <v>108493</v>
      </c>
      <c r="D329" s="132">
        <f>'Budget Detail FY 2013-20'!M493</f>
        <v>151672</v>
      </c>
      <c r="E329" s="132">
        <f>'Budget Detail FY 2013-20'!N493</f>
        <v>239316</v>
      </c>
      <c r="F329" s="132">
        <f>'Budget Detail FY 2013-20'!O493</f>
        <v>237855</v>
      </c>
      <c r="G329" s="132">
        <f>'Budget Detail FY 2013-20'!P493</f>
        <v>264315</v>
      </c>
      <c r="H329" s="132">
        <f>'Budget Detail FY 2013-20'!Q493</f>
        <v>79315</v>
      </c>
      <c r="I329" s="132">
        <f>'Budget Detail FY 2013-20'!R493</f>
        <v>79315</v>
      </c>
      <c r="J329" s="132">
        <f>'Budget Detail FY 2013-20'!S493</f>
        <v>79315</v>
      </c>
      <c r="K329" s="132">
        <f>'Budget Detail FY 2013-20'!T493</f>
        <v>79315</v>
      </c>
      <c r="L329" s="571" t="s">
        <v>1150</v>
      </c>
    </row>
    <row r="330" spans="2:12" s="570" customFormat="1" hidden="1">
      <c r="B330" s="157"/>
      <c r="C330" s="163">
        <f>C328-C329</f>
        <v>0</v>
      </c>
      <c r="D330" s="163">
        <f t="shared" ref="D330:K330" si="52">D328-D329</f>
        <v>0</v>
      </c>
      <c r="E330" s="163">
        <f t="shared" si="52"/>
        <v>0</v>
      </c>
      <c r="F330" s="163">
        <f t="shared" si="52"/>
        <v>0</v>
      </c>
      <c r="G330" s="163">
        <f t="shared" si="52"/>
        <v>0</v>
      </c>
      <c r="H330" s="163">
        <f t="shared" si="52"/>
        <v>0</v>
      </c>
      <c r="I330" s="163">
        <f t="shared" si="52"/>
        <v>0</v>
      </c>
      <c r="J330" s="163">
        <f t="shared" si="52"/>
        <v>0</v>
      </c>
      <c r="K330" s="163">
        <f t="shared" si="52"/>
        <v>0</v>
      </c>
      <c r="L330" s="571" t="s">
        <v>1151</v>
      </c>
    </row>
    <row r="331" spans="2:12" ht="7.5" customHeight="1">
      <c r="B331" s="160"/>
      <c r="C331" s="4"/>
      <c r="D331" s="4"/>
      <c r="E331" s="4"/>
      <c r="F331" s="4"/>
      <c r="G331" s="4"/>
      <c r="H331" s="4"/>
      <c r="I331" s="4"/>
      <c r="J331" s="4"/>
      <c r="K331" s="4"/>
    </row>
    <row r="332" spans="2:12">
      <c r="B332" s="158" t="s">
        <v>1228</v>
      </c>
      <c r="C332" s="2"/>
      <c r="D332" s="2"/>
      <c r="E332" s="2"/>
      <c r="F332" s="2"/>
      <c r="G332" s="2"/>
      <c r="H332" s="2"/>
      <c r="I332" s="2"/>
      <c r="J332" s="2"/>
      <c r="K332" s="2"/>
    </row>
    <row r="333" spans="2:12" ht="20.100000000000001" customHeight="1">
      <c r="B333" s="508" t="s">
        <v>846</v>
      </c>
      <c r="C333" s="2">
        <f>'Budget Detail FY 2013-20'!L496+'Budget Detail FY 2013-20'!L497</f>
        <v>0</v>
      </c>
      <c r="D333" s="2">
        <f>'Budget Detail FY 2013-20'!M496+'Budget Detail FY 2013-20'!M497</f>
        <v>800</v>
      </c>
      <c r="E333" s="2">
        <f>'Budget Detail FY 2013-20'!N496+'Budget Detail FY 2013-20'!N497</f>
        <v>0</v>
      </c>
      <c r="F333" s="2">
        <f>'Budget Detail FY 2013-20'!O496+'Budget Detail FY 2013-20'!O497</f>
        <v>2705</v>
      </c>
      <c r="G333" s="2">
        <f>'Budget Detail FY 2013-20'!P496+'Budget Detail FY 2013-20'!P497</f>
        <v>0</v>
      </c>
      <c r="H333" s="2">
        <f>'Budget Detail FY 2013-20'!Q496+'Budget Detail FY 2013-20'!Q497</f>
        <v>0</v>
      </c>
      <c r="I333" s="2">
        <f>'Budget Detail FY 2013-20'!R496+'Budget Detail FY 2013-20'!R497</f>
        <v>0</v>
      </c>
      <c r="J333" s="2">
        <f>'Budget Detail FY 2013-20'!S496+'Budget Detail FY 2013-20'!S497</f>
        <v>0</v>
      </c>
      <c r="K333" s="2">
        <f>'Budget Detail FY 2013-20'!T496+'Budget Detail FY 2013-20'!T497</f>
        <v>0</v>
      </c>
    </row>
    <row r="334" spans="2:12" ht="20.100000000000001" customHeight="1">
      <c r="B334" s="508" t="s">
        <v>848</v>
      </c>
      <c r="C334" s="2">
        <f>SUM('Budget Detail FY 2013-20'!L498:L501)</f>
        <v>17284</v>
      </c>
      <c r="D334" s="2">
        <f>SUM('Budget Detail FY 2013-20'!M498:M501)</f>
        <v>12143</v>
      </c>
      <c r="E334" s="2">
        <f>SUM('Budget Detail FY 2013-20'!N498:N501)</f>
        <v>140000</v>
      </c>
      <c r="F334" s="2">
        <f>SUM('Budget Detail FY 2013-20'!O498:O501)</f>
        <v>113950</v>
      </c>
      <c r="G334" s="2">
        <f>SUM('Budget Detail FY 2013-20'!P498:P501)</f>
        <v>127929</v>
      </c>
      <c r="H334" s="2">
        <f>SUM('Budget Detail FY 2013-20'!Q498:Q501)</f>
        <v>0</v>
      </c>
      <c r="I334" s="2">
        <f>SUM('Budget Detail FY 2013-20'!R498:R501)</f>
        <v>0</v>
      </c>
      <c r="J334" s="2">
        <f>SUM('Budget Detail FY 2013-20'!S498:S501)</f>
        <v>0</v>
      </c>
      <c r="K334" s="2">
        <f>SUM('Budget Detail FY 2013-20'!T498:T501)</f>
        <v>0</v>
      </c>
    </row>
    <row r="335" spans="2:12" ht="20.100000000000001" customHeight="1">
      <c r="B335" s="508" t="s">
        <v>772</v>
      </c>
      <c r="C335" s="2">
        <f>SUM('Budget Detail FY 2013-20'!L503:L504)</f>
        <v>0</v>
      </c>
      <c r="D335" s="2">
        <f>SUM('Budget Detail FY 2013-20'!M503:M504)</f>
        <v>2383</v>
      </c>
      <c r="E335" s="2">
        <f>SUM('Budget Detail FY 2013-20'!N503:N504)</f>
        <v>2219</v>
      </c>
      <c r="F335" s="2">
        <f>SUM('Budget Detail FY 2013-20'!O503:O504)</f>
        <v>2219</v>
      </c>
      <c r="G335" s="2">
        <f>SUM('Budget Detail FY 2013-20'!P503:P504)</f>
        <v>2219</v>
      </c>
      <c r="H335" s="2">
        <f>SUM('Budget Detail FY 2013-20'!Q503:Q504)</f>
        <v>2219</v>
      </c>
      <c r="I335" s="2">
        <f>SUM('Budget Detail FY 2013-20'!R503:R504)</f>
        <v>2219</v>
      </c>
      <c r="J335" s="2">
        <f>SUM('Budget Detail FY 2013-20'!S503:S504)</f>
        <v>2219</v>
      </c>
      <c r="K335" s="2">
        <f>SUM('Budget Detail FY 2013-20'!T503:T504)</f>
        <v>2219</v>
      </c>
    </row>
    <row r="336" spans="2:12" ht="20.100000000000001" customHeight="1">
      <c r="B336" s="507" t="s">
        <v>850</v>
      </c>
      <c r="C336" s="2">
        <f>SUM('Budget Detail FY 2013-20'!L505:L506)</f>
        <v>2500</v>
      </c>
      <c r="D336" s="2">
        <f>SUM('Budget Detail FY 2013-20'!M505:M506)</f>
        <v>50000</v>
      </c>
      <c r="E336" s="2">
        <f>SUM('Budget Detail FY 2013-20'!N505:N506)</f>
        <v>50000</v>
      </c>
      <c r="F336" s="2">
        <f>SUM('Budget Detail FY 2013-20'!O505:O506)</f>
        <v>0</v>
      </c>
      <c r="G336" s="2">
        <f>SUM('Budget Detail FY 2013-20'!P505:P506)</f>
        <v>0</v>
      </c>
      <c r="H336" s="2">
        <f>SUM('Budget Detail FY 2013-20'!Q505:Q506)</f>
        <v>0</v>
      </c>
      <c r="I336" s="2">
        <f>SUM('Budget Detail FY 2013-20'!R505:R506)</f>
        <v>0</v>
      </c>
      <c r="J336" s="2">
        <f>SUM('Budget Detail FY 2013-20'!S505:S506)</f>
        <v>0</v>
      </c>
      <c r="K336" s="2">
        <f>SUM('Budget Detail FY 2013-20'!T505:T506)</f>
        <v>0</v>
      </c>
    </row>
    <row r="337" spans="2:12" ht="20.100000000000001" customHeight="1" thickBot="1">
      <c r="B337" s="153" t="s">
        <v>1047</v>
      </c>
      <c r="C337" s="177">
        <f>SUM(C333:C336)</f>
        <v>19784</v>
      </c>
      <c r="D337" s="177">
        <f t="shared" ref="D337:K337" si="53">SUM(D333:D336)</f>
        <v>65326</v>
      </c>
      <c r="E337" s="177">
        <f t="shared" si="53"/>
        <v>192219</v>
      </c>
      <c r="F337" s="177">
        <f t="shared" si="53"/>
        <v>118874</v>
      </c>
      <c r="G337" s="177">
        <f t="shared" si="53"/>
        <v>130148</v>
      </c>
      <c r="H337" s="177">
        <f t="shared" si="53"/>
        <v>2219</v>
      </c>
      <c r="I337" s="177">
        <f t="shared" si="53"/>
        <v>2219</v>
      </c>
      <c r="J337" s="177">
        <f t="shared" si="53"/>
        <v>2219</v>
      </c>
      <c r="K337" s="177">
        <f t="shared" si="53"/>
        <v>2219</v>
      </c>
    </row>
    <row r="338" spans="2:12" s="569" customFormat="1" hidden="1">
      <c r="B338" s="155"/>
      <c r="C338" s="132">
        <f>'Budget Detail FY 2013-20'!L507</f>
        <v>19784</v>
      </c>
      <c r="D338" s="132">
        <f>'Budget Detail FY 2013-20'!M507</f>
        <v>65326</v>
      </c>
      <c r="E338" s="132">
        <f>'Budget Detail FY 2013-20'!N507</f>
        <v>192219</v>
      </c>
      <c r="F338" s="132">
        <f>'Budget Detail FY 2013-20'!O507</f>
        <v>118874</v>
      </c>
      <c r="G338" s="132">
        <f>'Budget Detail FY 2013-20'!P507</f>
        <v>130148</v>
      </c>
      <c r="H338" s="132">
        <f>'Budget Detail FY 2013-20'!Q507</f>
        <v>2219</v>
      </c>
      <c r="I338" s="132">
        <f>'Budget Detail FY 2013-20'!R507</f>
        <v>2219</v>
      </c>
      <c r="J338" s="132">
        <f>'Budget Detail FY 2013-20'!S507</f>
        <v>2219</v>
      </c>
      <c r="K338" s="132">
        <f>'Budget Detail FY 2013-20'!T507</f>
        <v>2219</v>
      </c>
      <c r="L338" s="571" t="s">
        <v>1150</v>
      </c>
    </row>
    <row r="339" spans="2:12" s="570" customFormat="1" hidden="1">
      <c r="B339" s="157"/>
      <c r="C339" s="163">
        <f>C337-C338</f>
        <v>0</v>
      </c>
      <c r="D339" s="163">
        <f t="shared" ref="D339:J339" si="54">D337-D338</f>
        <v>0</v>
      </c>
      <c r="E339" s="163">
        <f t="shared" si="54"/>
        <v>0</v>
      </c>
      <c r="F339" s="163">
        <f t="shared" si="54"/>
        <v>0</v>
      </c>
      <c r="G339" s="163">
        <f>G337-G338</f>
        <v>0</v>
      </c>
      <c r="H339" s="163">
        <f t="shared" si="54"/>
        <v>0</v>
      </c>
      <c r="I339" s="163">
        <f t="shared" si="54"/>
        <v>0</v>
      </c>
      <c r="J339" s="163">
        <f t="shared" si="54"/>
        <v>0</v>
      </c>
      <c r="K339" s="163">
        <f>K337-K338</f>
        <v>0</v>
      </c>
      <c r="L339" s="571" t="s">
        <v>1151</v>
      </c>
    </row>
    <row r="340" spans="2:12" ht="7.5" customHeight="1">
      <c r="B340" s="160"/>
      <c r="C340" s="4"/>
      <c r="D340" s="4"/>
      <c r="E340" s="4"/>
      <c r="F340" s="4"/>
      <c r="G340" s="4"/>
      <c r="H340" s="4"/>
      <c r="I340" s="4"/>
      <c r="J340" s="4"/>
      <c r="K340" s="4"/>
    </row>
    <row r="341" spans="2:12" ht="20.100000000000001" customHeight="1" thickBot="1">
      <c r="B341" s="153" t="s">
        <v>851</v>
      </c>
      <c r="C341" s="150">
        <f>C319+C328+C337</f>
        <v>291163</v>
      </c>
      <c r="D341" s="150">
        <f t="shared" ref="D341:K341" si="55">D319+D328+D337</f>
        <v>333269</v>
      </c>
      <c r="E341" s="150">
        <f t="shared" si="55"/>
        <v>559202</v>
      </c>
      <c r="F341" s="150">
        <f t="shared" si="55"/>
        <v>486638</v>
      </c>
      <c r="G341" s="150">
        <f t="shared" si="55"/>
        <v>616130</v>
      </c>
      <c r="H341" s="150">
        <f t="shared" si="55"/>
        <v>258201</v>
      </c>
      <c r="I341" s="150">
        <f t="shared" si="55"/>
        <v>258201</v>
      </c>
      <c r="J341" s="150">
        <f t="shared" si="55"/>
        <v>258201</v>
      </c>
      <c r="K341" s="150">
        <f t="shared" si="55"/>
        <v>258201</v>
      </c>
    </row>
    <row r="342" spans="2:12" s="569" customFormat="1" hidden="1">
      <c r="B342" s="155"/>
      <c r="C342" s="132">
        <f>'Budget Detail FY 2013-20'!L509</f>
        <v>291163</v>
      </c>
      <c r="D342" s="132">
        <f>'Budget Detail FY 2013-20'!M509</f>
        <v>333269</v>
      </c>
      <c r="E342" s="132">
        <f>'Budget Detail FY 2013-20'!N509</f>
        <v>559202</v>
      </c>
      <c r="F342" s="132">
        <f>'Budget Detail FY 2013-20'!O509</f>
        <v>486638</v>
      </c>
      <c r="G342" s="132">
        <f>'Budget Detail FY 2013-20'!P509</f>
        <v>616130</v>
      </c>
      <c r="H342" s="132">
        <f>'Budget Detail FY 2013-20'!Q509</f>
        <v>258201</v>
      </c>
      <c r="I342" s="132">
        <f>'Budget Detail FY 2013-20'!R509</f>
        <v>258201</v>
      </c>
      <c r="J342" s="132">
        <f>'Budget Detail FY 2013-20'!S509</f>
        <v>258201</v>
      </c>
      <c r="K342" s="132">
        <f>'Budget Detail FY 2013-20'!T509</f>
        <v>258201</v>
      </c>
      <c r="L342" s="571" t="s">
        <v>1150</v>
      </c>
    </row>
    <row r="343" spans="2:12" s="570" customFormat="1" hidden="1">
      <c r="B343" s="157"/>
      <c r="C343" s="133">
        <f>C341-C342</f>
        <v>0</v>
      </c>
      <c r="D343" s="133">
        <f t="shared" ref="D343:K343" si="56">D341-D342</f>
        <v>0</v>
      </c>
      <c r="E343" s="133">
        <f t="shared" si="56"/>
        <v>0</v>
      </c>
      <c r="F343" s="133">
        <f t="shared" si="56"/>
        <v>0</v>
      </c>
      <c r="G343" s="133">
        <f t="shared" si="56"/>
        <v>0</v>
      </c>
      <c r="H343" s="133">
        <f t="shared" si="56"/>
        <v>0</v>
      </c>
      <c r="I343" s="133">
        <f t="shared" si="56"/>
        <v>0</v>
      </c>
      <c r="J343" s="133">
        <f t="shared" si="56"/>
        <v>0</v>
      </c>
      <c r="K343" s="133">
        <f t="shared" si="56"/>
        <v>0</v>
      </c>
      <c r="L343" s="571" t="s">
        <v>1151</v>
      </c>
    </row>
    <row r="344" spans="2:12" ht="7.5" customHeight="1">
      <c r="B344" s="160"/>
      <c r="C344" s="4"/>
      <c r="D344" s="4"/>
      <c r="E344" s="4"/>
      <c r="F344" s="4"/>
      <c r="G344" s="4"/>
      <c r="H344" s="4"/>
      <c r="I344" s="4"/>
      <c r="J344" s="4"/>
      <c r="K344" s="4"/>
    </row>
    <row r="345" spans="2:12" ht="20.100000000000001" customHeight="1">
      <c r="B345" s="510" t="s">
        <v>852</v>
      </c>
      <c r="C345" s="3">
        <f t="shared" ref="C345:K345" si="57">C312-C341</f>
        <v>-179007</v>
      </c>
      <c r="D345" s="3">
        <f t="shared" si="57"/>
        <v>-27842</v>
      </c>
      <c r="E345" s="3">
        <f t="shared" si="57"/>
        <v>-124649</v>
      </c>
      <c r="F345" s="3">
        <f t="shared" si="57"/>
        <v>-5178</v>
      </c>
      <c r="G345" s="3">
        <f t="shared" si="57"/>
        <v>-143792</v>
      </c>
      <c r="H345" s="3">
        <f t="shared" si="57"/>
        <v>306</v>
      </c>
      <c r="I345" s="3">
        <f t="shared" si="57"/>
        <v>306</v>
      </c>
      <c r="J345" s="3">
        <f t="shared" si="57"/>
        <v>306</v>
      </c>
      <c r="K345" s="3">
        <f t="shared" si="57"/>
        <v>306</v>
      </c>
    </row>
    <row r="346" spans="2:12" s="569" customFormat="1" hidden="1">
      <c r="B346" s="161"/>
      <c r="C346" s="132">
        <f>'Budget Detail FY 2013-20'!L511</f>
        <v>-179007</v>
      </c>
      <c r="D346" s="132">
        <f>'Budget Detail FY 2013-20'!M511</f>
        <v>-27842</v>
      </c>
      <c r="E346" s="132">
        <f>'Budget Detail FY 2013-20'!N511</f>
        <v>-124649</v>
      </c>
      <c r="F346" s="132">
        <f>'Budget Detail FY 2013-20'!O511</f>
        <v>-5178</v>
      </c>
      <c r="G346" s="132">
        <f>'Budget Detail FY 2013-20'!P511</f>
        <v>-143792</v>
      </c>
      <c r="H346" s="132">
        <f>'Budget Detail FY 2013-20'!Q511</f>
        <v>306</v>
      </c>
      <c r="I346" s="132">
        <f>'Budget Detail FY 2013-20'!R511</f>
        <v>306</v>
      </c>
      <c r="J346" s="132">
        <f>'Budget Detail FY 2013-20'!S511</f>
        <v>306</v>
      </c>
      <c r="K346" s="132">
        <f>'Budget Detail FY 2013-20'!T511</f>
        <v>306</v>
      </c>
      <c r="L346" s="571" t="s">
        <v>1150</v>
      </c>
    </row>
    <row r="347" spans="2:12" s="570" customFormat="1" hidden="1">
      <c r="B347" s="162"/>
      <c r="C347" s="171">
        <f>C345-C346</f>
        <v>0</v>
      </c>
      <c r="D347" s="171">
        <f t="shared" ref="D347:K347" si="58">D345-D346</f>
        <v>0</v>
      </c>
      <c r="E347" s="171">
        <f t="shared" si="58"/>
        <v>0</v>
      </c>
      <c r="F347" s="171">
        <f t="shared" si="58"/>
        <v>0</v>
      </c>
      <c r="G347" s="171">
        <f t="shared" si="58"/>
        <v>0</v>
      </c>
      <c r="H347" s="171">
        <f t="shared" si="58"/>
        <v>0</v>
      </c>
      <c r="I347" s="171">
        <f t="shared" si="58"/>
        <v>0</v>
      </c>
      <c r="J347" s="171">
        <f t="shared" si="58"/>
        <v>0</v>
      </c>
      <c r="K347" s="171">
        <f t="shared" si="58"/>
        <v>0</v>
      </c>
      <c r="L347" s="571" t="s">
        <v>1151</v>
      </c>
    </row>
    <row r="348" spans="2:12" ht="7.5" customHeight="1">
      <c r="B348" s="173"/>
      <c r="C348" s="111"/>
      <c r="D348" s="111"/>
      <c r="E348" s="111"/>
      <c r="F348" s="111"/>
      <c r="G348" s="111"/>
      <c r="H348" s="111"/>
      <c r="I348" s="111"/>
      <c r="J348" s="111"/>
      <c r="K348" s="111"/>
    </row>
    <row r="349" spans="2:12">
      <c r="B349" s="174" t="s">
        <v>1044</v>
      </c>
      <c r="C349" s="98">
        <v>106687</v>
      </c>
      <c r="D349" s="98">
        <v>39371</v>
      </c>
      <c r="E349" s="98">
        <v>0</v>
      </c>
      <c r="F349" s="98">
        <f>'Budget Detail FY 2013-20'!O513</f>
        <v>-11730</v>
      </c>
      <c r="G349" s="98">
        <f>'Budget Detail FY 2013-20'!P513</f>
        <v>0</v>
      </c>
      <c r="H349" s="98">
        <f>'Budget Detail FY 2013-20'!Q513</f>
        <v>0</v>
      </c>
      <c r="I349" s="98">
        <f>'Budget Detail FY 2013-20'!R513</f>
        <v>0</v>
      </c>
      <c r="J349" s="98">
        <f>'Budget Detail FY 2013-20'!S513</f>
        <v>0</v>
      </c>
      <c r="K349" s="98">
        <f>'Budget Detail FY 2013-20'!T513</f>
        <v>0</v>
      </c>
    </row>
    <row r="350" spans="2:12" s="569" customFormat="1" hidden="1">
      <c r="B350" s="175"/>
      <c r="C350" s="132">
        <f>'Budget Detail FY 2013-20'!L513</f>
        <v>106687</v>
      </c>
      <c r="D350" s="132">
        <f>'Budget Detail FY 2013-20'!M513</f>
        <v>39371</v>
      </c>
      <c r="E350" s="132">
        <f>'Budget Detail FY 2013-20'!N513</f>
        <v>0</v>
      </c>
      <c r="F350" s="132">
        <f>'Budget Detail FY 2013-20'!O513</f>
        <v>-11730</v>
      </c>
      <c r="G350" s="132">
        <f>'Budget Detail FY 2013-20'!P513</f>
        <v>0</v>
      </c>
      <c r="H350" s="132">
        <f>'Budget Detail FY 2013-20'!Q513</f>
        <v>0</v>
      </c>
      <c r="I350" s="132">
        <f>'Budget Detail FY 2013-20'!R513</f>
        <v>0</v>
      </c>
      <c r="J350" s="132">
        <f>'Budget Detail FY 2013-20'!S513</f>
        <v>0</v>
      </c>
      <c r="K350" s="132">
        <f>'Budget Detail FY 2013-20'!T513</f>
        <v>0</v>
      </c>
      <c r="L350" s="571" t="s">
        <v>1150</v>
      </c>
    </row>
    <row r="351" spans="2:12" s="570" customFormat="1" hidden="1">
      <c r="B351" s="176"/>
      <c r="C351" s="163">
        <f>C349-C350</f>
        <v>0</v>
      </c>
      <c r="D351" s="163">
        <f t="shared" ref="D351:K351" si="59">D349-D350</f>
        <v>0</v>
      </c>
      <c r="E351" s="163">
        <f t="shared" si="59"/>
        <v>0</v>
      </c>
      <c r="F351" s="163">
        <f t="shared" si="59"/>
        <v>0</v>
      </c>
      <c r="G351" s="163">
        <f t="shared" si="59"/>
        <v>0</v>
      </c>
      <c r="H351" s="163">
        <f t="shared" si="59"/>
        <v>0</v>
      </c>
      <c r="I351" s="163">
        <f t="shared" si="59"/>
        <v>0</v>
      </c>
      <c r="J351" s="163">
        <f t="shared" si="59"/>
        <v>0</v>
      </c>
      <c r="K351" s="163">
        <f t="shared" si="59"/>
        <v>0</v>
      </c>
      <c r="L351" s="571" t="s">
        <v>1151</v>
      </c>
    </row>
    <row r="352" spans="2:12" ht="7.5" customHeight="1">
      <c r="B352" s="174"/>
      <c r="C352" s="98"/>
      <c r="D352" s="98"/>
      <c r="E352" s="98"/>
      <c r="F352" s="98"/>
      <c r="G352" s="98"/>
      <c r="H352" s="98"/>
      <c r="I352" s="98"/>
      <c r="J352" s="98"/>
      <c r="K352" s="98"/>
    </row>
    <row r="353" spans="2:12">
      <c r="B353" s="174" t="s">
        <v>1045</v>
      </c>
      <c r="C353" s="98">
        <v>22399</v>
      </c>
      <c r="D353" s="98">
        <v>74302</v>
      </c>
      <c r="E353" s="98">
        <v>0</v>
      </c>
      <c r="F353" s="98">
        <f>'Budget Detail FY 2013-20'!O515</f>
        <v>27899</v>
      </c>
      <c r="G353" s="98">
        <f>'Budget Detail FY 2013-20'!P515</f>
        <v>0</v>
      </c>
      <c r="H353" s="98">
        <f>'Budget Detail FY 2013-20'!Q515</f>
        <v>0</v>
      </c>
      <c r="I353" s="98">
        <f>'Budget Detail FY 2013-20'!R515</f>
        <v>0</v>
      </c>
      <c r="J353" s="98">
        <f>'Budget Detail FY 2013-20'!S515</f>
        <v>0</v>
      </c>
      <c r="K353" s="98">
        <f>'Budget Detail FY 2013-20'!T515</f>
        <v>0</v>
      </c>
    </row>
    <row r="354" spans="2:12" s="569" customFormat="1" hidden="1">
      <c r="B354" s="175"/>
      <c r="C354" s="132">
        <f>'Budget Detail FY 2013-20'!L515</f>
        <v>22399</v>
      </c>
      <c r="D354" s="132">
        <f>'Budget Detail FY 2013-20'!M515</f>
        <v>74302</v>
      </c>
      <c r="E354" s="132">
        <f>'Budget Detail FY 2013-20'!N515</f>
        <v>0</v>
      </c>
      <c r="F354" s="132">
        <f>'Budget Detail FY 2013-20'!O515</f>
        <v>27899</v>
      </c>
      <c r="G354" s="132">
        <f>'Budget Detail FY 2013-20'!P515</f>
        <v>0</v>
      </c>
      <c r="H354" s="132">
        <f>'Budget Detail FY 2013-20'!Q515</f>
        <v>0</v>
      </c>
      <c r="I354" s="132">
        <f>'Budget Detail FY 2013-20'!R515</f>
        <v>0</v>
      </c>
      <c r="J354" s="132">
        <f>'Budget Detail FY 2013-20'!S515</f>
        <v>0</v>
      </c>
      <c r="K354" s="132">
        <f>'Budget Detail FY 2013-20'!T515</f>
        <v>0</v>
      </c>
      <c r="L354" s="571" t="s">
        <v>1150</v>
      </c>
    </row>
    <row r="355" spans="2:12" s="570" customFormat="1" hidden="1">
      <c r="B355" s="176"/>
      <c r="C355" s="163">
        <f>C353-C354</f>
        <v>0</v>
      </c>
      <c r="D355" s="163">
        <f t="shared" ref="D355:K355" si="60">D353-D354</f>
        <v>0</v>
      </c>
      <c r="E355" s="163">
        <f t="shared" si="60"/>
        <v>0</v>
      </c>
      <c r="F355" s="163">
        <f t="shared" si="60"/>
        <v>0</v>
      </c>
      <c r="G355" s="163">
        <f t="shared" si="60"/>
        <v>0</v>
      </c>
      <c r="H355" s="163">
        <f t="shared" si="60"/>
        <v>0</v>
      </c>
      <c r="I355" s="163">
        <f t="shared" si="60"/>
        <v>0</v>
      </c>
      <c r="J355" s="163">
        <f t="shared" si="60"/>
        <v>0</v>
      </c>
      <c r="K355" s="163">
        <f t="shared" si="60"/>
        <v>0</v>
      </c>
      <c r="L355" s="571" t="s">
        <v>1151</v>
      </c>
    </row>
    <row r="356" spans="2:12" ht="7.5" customHeight="1">
      <c r="B356" s="174"/>
      <c r="C356" s="98"/>
      <c r="D356" s="98"/>
      <c r="E356" s="98"/>
      <c r="F356" s="98"/>
      <c r="G356" s="98"/>
      <c r="H356" s="98"/>
      <c r="I356" s="98"/>
      <c r="J356" s="98"/>
      <c r="K356" s="98"/>
    </row>
    <row r="357" spans="2:12">
      <c r="B357" s="174" t="s">
        <v>1229</v>
      </c>
      <c r="C357" s="98">
        <v>46502</v>
      </c>
      <c r="D357" s="98">
        <v>34073</v>
      </c>
      <c r="E357" s="98">
        <v>0</v>
      </c>
      <c r="F357" s="98">
        <f>'Budget Detail FY 2013-20'!O517</f>
        <v>126399</v>
      </c>
      <c r="G357" s="98">
        <f>'Budget Detail FY 2013-20'!P517</f>
        <v>-1224</v>
      </c>
      <c r="H357" s="98">
        <f>'Budget Detail FY 2013-20'!Q517</f>
        <v>-918</v>
      </c>
      <c r="I357" s="98">
        <f>'Budget Detail FY 2013-20'!R517</f>
        <v>-612</v>
      </c>
      <c r="J357" s="98">
        <f>'Budget Detail FY 2013-20'!S517</f>
        <v>-306</v>
      </c>
      <c r="K357" s="98">
        <f>'Budget Detail FY 2013-20'!T517</f>
        <v>0</v>
      </c>
    </row>
    <row r="358" spans="2:12" s="569" customFormat="1" hidden="1">
      <c r="B358" s="175"/>
      <c r="C358" s="132">
        <f>'Budget Detail FY 2013-20'!L517</f>
        <v>46502</v>
      </c>
      <c r="D358" s="132">
        <f>'Budget Detail FY 2013-20'!M517</f>
        <v>34073</v>
      </c>
      <c r="E358" s="132">
        <f>'Budget Detail FY 2013-20'!N517</f>
        <v>0</v>
      </c>
      <c r="F358" s="132">
        <f>'Budget Detail FY 2013-20'!O517</f>
        <v>126399</v>
      </c>
      <c r="G358" s="132">
        <f>'Budget Detail FY 2013-20'!P517</f>
        <v>-1224</v>
      </c>
      <c r="H358" s="132">
        <f>'Budget Detail FY 2013-20'!Q517</f>
        <v>-918</v>
      </c>
      <c r="I358" s="132">
        <f>'Budget Detail FY 2013-20'!R517</f>
        <v>-612</v>
      </c>
      <c r="J358" s="132">
        <f>'Budget Detail FY 2013-20'!S517</f>
        <v>-306</v>
      </c>
      <c r="K358" s="132">
        <f>'Budget Detail FY 2013-20'!T517</f>
        <v>0</v>
      </c>
      <c r="L358" s="571" t="s">
        <v>1150</v>
      </c>
    </row>
    <row r="359" spans="2:12" s="570" customFormat="1" hidden="1">
      <c r="B359" s="176"/>
      <c r="C359" s="163">
        <f>C357-C358</f>
        <v>0</v>
      </c>
      <c r="D359" s="163">
        <f t="shared" ref="D359:K359" si="61">D357-D358</f>
        <v>0</v>
      </c>
      <c r="E359" s="163">
        <f t="shared" si="61"/>
        <v>0</v>
      </c>
      <c r="F359" s="163">
        <f t="shared" si="61"/>
        <v>0</v>
      </c>
      <c r="G359" s="163">
        <f t="shared" si="61"/>
        <v>0</v>
      </c>
      <c r="H359" s="163">
        <f t="shared" si="61"/>
        <v>0</v>
      </c>
      <c r="I359" s="163">
        <f t="shared" si="61"/>
        <v>0</v>
      </c>
      <c r="J359" s="163">
        <f t="shared" si="61"/>
        <v>0</v>
      </c>
      <c r="K359" s="163">
        <f t="shared" si="61"/>
        <v>0</v>
      </c>
      <c r="L359" s="571" t="s">
        <v>1151</v>
      </c>
    </row>
    <row r="360" spans="2:12" ht="7.5" customHeight="1">
      <c r="B360" s="174"/>
      <c r="C360" s="98"/>
      <c r="D360" s="98"/>
      <c r="E360" s="98"/>
      <c r="F360" s="98"/>
      <c r="G360" s="98"/>
      <c r="H360" s="98"/>
      <c r="I360" s="98"/>
      <c r="J360" s="98"/>
      <c r="K360" s="98"/>
    </row>
    <row r="361" spans="2:12" ht="15.75" thickBot="1">
      <c r="B361" s="152" t="s">
        <v>853</v>
      </c>
      <c r="C361" s="83">
        <v>175588</v>
      </c>
      <c r="D361" s="83">
        <v>147746</v>
      </c>
      <c r="E361" s="83">
        <v>0</v>
      </c>
      <c r="F361" s="83">
        <f>D361+F345</f>
        <v>142568</v>
      </c>
      <c r="G361" s="83">
        <f>F361+G345</f>
        <v>-1224</v>
      </c>
      <c r="H361" s="83">
        <f>G361+H345</f>
        <v>-918</v>
      </c>
      <c r="I361" s="83">
        <f>H361+I345</f>
        <v>-612</v>
      </c>
      <c r="J361" s="83">
        <f>I361+J345</f>
        <v>-306</v>
      </c>
      <c r="K361" s="83">
        <f>J361+K345</f>
        <v>0</v>
      </c>
    </row>
    <row r="362" spans="2:12" s="569" customFormat="1" ht="15.75" hidden="1" thickTop="1">
      <c r="B362" s="155"/>
      <c r="C362" s="132">
        <f>'Budget Detail FY 2013-20'!L519</f>
        <v>175588</v>
      </c>
      <c r="D362" s="132">
        <f>'Budget Detail FY 2013-20'!M519</f>
        <v>147746</v>
      </c>
      <c r="E362" s="132">
        <f>'Budget Detail FY 2013-20'!N519</f>
        <v>0</v>
      </c>
      <c r="F362" s="132">
        <f>'Budget Detail FY 2013-20'!O519</f>
        <v>142568</v>
      </c>
      <c r="G362" s="132">
        <f>'Budget Detail FY 2013-20'!P519</f>
        <v>-1224</v>
      </c>
      <c r="H362" s="132">
        <f>'Budget Detail FY 2013-20'!Q519</f>
        <v>-918</v>
      </c>
      <c r="I362" s="132">
        <f>'Budget Detail FY 2013-20'!R519</f>
        <v>-612</v>
      </c>
      <c r="J362" s="132">
        <f>'Budget Detail FY 2013-20'!S519</f>
        <v>-306</v>
      </c>
      <c r="K362" s="132">
        <f>'Budget Detail FY 2013-20'!T519</f>
        <v>0</v>
      </c>
      <c r="L362" s="571" t="s">
        <v>1150</v>
      </c>
    </row>
    <row r="363" spans="2:12" s="570" customFormat="1" hidden="1">
      <c r="B363" s="157"/>
      <c r="C363" s="133">
        <f>C361-C362</f>
        <v>0</v>
      </c>
      <c r="D363" s="133">
        <f t="shared" ref="D363:K363" si="62">D361-D362</f>
        <v>0</v>
      </c>
      <c r="E363" s="133">
        <f t="shared" si="62"/>
        <v>0</v>
      </c>
      <c r="F363" s="133">
        <f t="shared" si="62"/>
        <v>0</v>
      </c>
      <c r="G363" s="133">
        <f t="shared" si="62"/>
        <v>0</v>
      </c>
      <c r="H363" s="133">
        <f t="shared" si="62"/>
        <v>0</v>
      </c>
      <c r="I363" s="133">
        <f t="shared" si="62"/>
        <v>0</v>
      </c>
      <c r="J363" s="133">
        <f t="shared" si="62"/>
        <v>0</v>
      </c>
      <c r="K363" s="133">
        <f t="shared" si="62"/>
        <v>0</v>
      </c>
      <c r="L363" s="571" t="s">
        <v>1151</v>
      </c>
    </row>
    <row r="364" spans="2:12" ht="7.5" customHeight="1" thickTop="1">
      <c r="B364" s="165"/>
      <c r="C364" s="3"/>
      <c r="D364" s="3"/>
      <c r="E364" s="3"/>
      <c r="F364" s="2"/>
      <c r="G364" s="2"/>
      <c r="H364" s="2"/>
      <c r="I364" s="2"/>
      <c r="J364" s="2"/>
      <c r="K364" s="2"/>
    </row>
    <row r="365" spans="2:12">
      <c r="B365" s="165"/>
      <c r="C365" s="2"/>
      <c r="D365" s="2"/>
      <c r="E365" s="2"/>
      <c r="F365" s="2"/>
      <c r="G365" s="2"/>
      <c r="H365" s="2"/>
      <c r="I365" s="2"/>
      <c r="J365" s="2"/>
      <c r="K365" s="2"/>
    </row>
    <row r="366" spans="2:12">
      <c r="B366" s="1"/>
      <c r="C366" s="2"/>
      <c r="D366" s="2"/>
      <c r="E366" s="2"/>
      <c r="F366" s="2"/>
      <c r="G366" s="2"/>
      <c r="H366" s="2"/>
      <c r="I366" s="2"/>
      <c r="J366" s="2"/>
      <c r="K366" s="2"/>
    </row>
    <row r="367" spans="2:12">
      <c r="B367" s="1"/>
      <c r="C367" s="2"/>
      <c r="D367" s="2"/>
      <c r="E367" s="2"/>
      <c r="F367" s="2"/>
      <c r="G367" s="2"/>
      <c r="H367" s="2"/>
      <c r="I367" s="2"/>
      <c r="J367" s="2"/>
      <c r="K367" s="2"/>
    </row>
    <row r="368" spans="2:12">
      <c r="B368" s="1"/>
      <c r="C368" s="2"/>
      <c r="D368" s="2"/>
      <c r="E368" s="2"/>
      <c r="F368" s="2"/>
      <c r="G368" s="2"/>
      <c r="H368" s="2"/>
      <c r="I368" s="2"/>
      <c r="J368" s="2"/>
      <c r="K368" s="2"/>
    </row>
    <row r="369" spans="2:11">
      <c r="B369" s="1"/>
      <c r="C369" s="2"/>
      <c r="D369" s="2"/>
      <c r="E369" s="2"/>
      <c r="F369" s="2"/>
      <c r="G369" s="2"/>
      <c r="H369" s="2"/>
      <c r="I369" s="2"/>
      <c r="J369" s="2"/>
      <c r="K369" s="2"/>
    </row>
    <row r="370" spans="2:11">
      <c r="B370" s="1"/>
      <c r="C370" s="2"/>
      <c r="D370" s="2"/>
      <c r="E370" s="2"/>
      <c r="F370" s="2"/>
      <c r="G370" s="2"/>
      <c r="H370" s="2"/>
      <c r="I370" s="2"/>
      <c r="J370" s="2"/>
      <c r="K370" s="2"/>
    </row>
    <row r="371" spans="2:11">
      <c r="B371" s="1"/>
      <c r="C371" s="2"/>
      <c r="D371" s="2"/>
      <c r="E371" s="2"/>
      <c r="F371" s="2"/>
      <c r="G371" s="2"/>
      <c r="H371" s="2"/>
      <c r="I371" s="2"/>
      <c r="J371" s="2"/>
      <c r="K371" s="2"/>
    </row>
    <row r="372" spans="2:11">
      <c r="B372" s="1"/>
      <c r="C372" s="2"/>
      <c r="D372" s="2"/>
      <c r="E372" s="2"/>
      <c r="F372" s="2"/>
      <c r="G372" s="2"/>
      <c r="H372" s="2"/>
      <c r="I372" s="2"/>
      <c r="J372" s="2"/>
      <c r="K372" s="2"/>
    </row>
    <row r="373" spans="2:11">
      <c r="B373" s="1"/>
      <c r="C373" s="2"/>
      <c r="D373" s="2"/>
      <c r="E373" s="2"/>
      <c r="F373" s="2"/>
      <c r="G373" s="2"/>
      <c r="H373" s="2"/>
      <c r="I373" s="2"/>
      <c r="J373" s="2"/>
      <c r="K373" s="2"/>
    </row>
    <row r="374" spans="2:11">
      <c r="B374" s="1"/>
      <c r="C374" s="2"/>
      <c r="D374" s="2"/>
      <c r="E374" s="2"/>
      <c r="F374" s="2"/>
      <c r="G374" s="2"/>
      <c r="H374" s="2"/>
      <c r="I374" s="2"/>
      <c r="J374" s="2"/>
      <c r="K374" s="2"/>
    </row>
    <row r="375" spans="2:11">
      <c r="B375" s="1"/>
      <c r="C375" s="2"/>
      <c r="D375" s="2"/>
      <c r="E375" s="2"/>
      <c r="F375" s="2"/>
      <c r="G375" s="2"/>
      <c r="H375" s="2"/>
      <c r="I375" s="2"/>
      <c r="J375" s="2"/>
      <c r="K375" s="2"/>
    </row>
    <row r="377" spans="2:11">
      <c r="B377" s="740" t="s">
        <v>861</v>
      </c>
      <c r="C377" s="740"/>
      <c r="D377" s="740"/>
      <c r="E377" s="740"/>
      <c r="F377" s="740"/>
      <c r="G377" s="740"/>
      <c r="H377" s="740"/>
      <c r="I377" s="740"/>
      <c r="J377" s="740"/>
      <c r="K377" s="740"/>
    </row>
    <row r="378" spans="2:11">
      <c r="B378" s="65"/>
      <c r="C378" s="3"/>
      <c r="D378" s="2"/>
      <c r="E378" s="2"/>
      <c r="F378" s="2"/>
      <c r="G378" s="2"/>
      <c r="H378" s="2"/>
      <c r="I378" s="2"/>
      <c r="J378" s="2"/>
      <c r="K378" s="2"/>
    </row>
    <row r="379" spans="2:11" ht="12.75" customHeight="1">
      <c r="B379" s="731" t="s">
        <v>1393</v>
      </c>
      <c r="C379" s="731"/>
      <c r="D379" s="731"/>
      <c r="E379" s="731"/>
      <c r="F379" s="731"/>
      <c r="G379" s="731"/>
      <c r="H379" s="731"/>
      <c r="I379" s="731"/>
      <c r="J379" s="731"/>
      <c r="K379" s="731"/>
    </row>
    <row r="380" spans="2:11" ht="20.25" customHeight="1">
      <c r="B380" s="731"/>
      <c r="C380" s="731"/>
      <c r="D380" s="731"/>
      <c r="E380" s="731"/>
      <c r="F380" s="731"/>
      <c r="G380" s="731"/>
      <c r="H380" s="731"/>
      <c r="I380" s="731"/>
      <c r="J380" s="731"/>
      <c r="K380" s="731"/>
    </row>
    <row r="381" spans="2:11">
      <c r="B381" s="563"/>
      <c r="C381" s="22"/>
      <c r="D381" s="22"/>
      <c r="E381" s="22"/>
      <c r="F381" s="22"/>
      <c r="G381" s="22"/>
      <c r="H381" s="22"/>
      <c r="I381" s="22"/>
      <c r="J381" s="22"/>
      <c r="K381" s="22"/>
    </row>
    <row r="382" spans="2:11">
      <c r="B382" s="5"/>
      <c r="C382" s="65"/>
      <c r="D382" s="66"/>
      <c r="E382" s="65" t="s">
        <v>270</v>
      </c>
      <c r="F382" s="1"/>
      <c r="G382" s="1"/>
      <c r="H382" s="1"/>
      <c r="I382" s="1"/>
      <c r="J382" s="1"/>
      <c r="K382" s="1"/>
    </row>
    <row r="383" spans="2:11">
      <c r="B383" s="66"/>
      <c r="C383" s="65" t="s">
        <v>257</v>
      </c>
      <c r="D383" s="49" t="s">
        <v>258</v>
      </c>
      <c r="E383" s="66" t="s">
        <v>832</v>
      </c>
      <c r="F383" s="66" t="s">
        <v>270</v>
      </c>
      <c r="G383" s="66" t="s">
        <v>271</v>
      </c>
      <c r="H383" s="66" t="s">
        <v>272</v>
      </c>
      <c r="I383" s="66" t="s">
        <v>996</v>
      </c>
      <c r="J383" s="66" t="s">
        <v>1101</v>
      </c>
      <c r="K383" s="66" t="s">
        <v>1136</v>
      </c>
    </row>
    <row r="384" spans="2:11" ht="15.75" thickBot="1">
      <c r="B384" s="169"/>
      <c r="C384" s="68" t="s">
        <v>1</v>
      </c>
      <c r="D384" s="68" t="s">
        <v>1</v>
      </c>
      <c r="E384" s="68" t="s">
        <v>787</v>
      </c>
      <c r="F384" s="68" t="s">
        <v>19</v>
      </c>
      <c r="G384" s="68" t="s">
        <v>832</v>
      </c>
      <c r="H384" s="68" t="s">
        <v>19</v>
      </c>
      <c r="I384" s="68" t="s">
        <v>19</v>
      </c>
      <c r="J384" s="68" t="s">
        <v>19</v>
      </c>
      <c r="K384" s="68" t="s">
        <v>19</v>
      </c>
    </row>
    <row r="385" spans="2:12">
      <c r="B385" s="64"/>
      <c r="C385" s="170"/>
      <c r="D385" s="2"/>
      <c r="E385" s="2"/>
      <c r="F385" s="2"/>
      <c r="G385" s="2"/>
      <c r="H385" s="2"/>
      <c r="I385" s="2"/>
      <c r="J385" s="2"/>
      <c r="K385" s="2"/>
    </row>
    <row r="386" spans="2:12">
      <c r="B386" s="158" t="s">
        <v>833</v>
      </c>
      <c r="C386" s="2"/>
      <c r="D386" s="2"/>
      <c r="E386" s="2"/>
      <c r="F386" s="2"/>
      <c r="G386" s="2"/>
      <c r="H386" s="2"/>
      <c r="I386" s="2"/>
      <c r="J386" s="2"/>
      <c r="K386" s="2"/>
    </row>
    <row r="387" spans="2:12" ht="20.100000000000001" customHeight="1">
      <c r="B387" s="506" t="s">
        <v>834</v>
      </c>
      <c r="C387" s="2">
        <f>'Budget Detail FY 2013-20'!L524</f>
        <v>324762</v>
      </c>
      <c r="D387" s="2">
        <f>'Budget Detail FY 2013-20'!M524</f>
        <v>315790</v>
      </c>
      <c r="E387" s="2">
        <f>'Budget Detail FY 2013-20'!N524</f>
        <v>329579</v>
      </c>
      <c r="F387" s="2">
        <f>'Budget Detail FY 2013-20'!O524</f>
        <v>327984</v>
      </c>
      <c r="G387" s="2">
        <f>'Budget Detail FY 2013-20'!P524</f>
        <v>165527</v>
      </c>
      <c r="H387" s="2">
        <f>'Budget Detail FY 2013-20'!Q524</f>
        <v>21764</v>
      </c>
      <c r="I387" s="2">
        <f>'Budget Detail FY 2013-20'!R524</f>
        <v>0</v>
      </c>
      <c r="J387" s="2">
        <f>'Budget Detail FY 2013-20'!S524</f>
        <v>0</v>
      </c>
      <c r="K387" s="2">
        <f>'Budget Detail FY 2013-20'!T524</f>
        <v>0</v>
      </c>
    </row>
    <row r="388" spans="2:12" ht="20.100000000000001" customHeight="1">
      <c r="B388" s="506" t="s">
        <v>836</v>
      </c>
      <c r="C388" s="2">
        <f>'Budget Detail FY 2013-20'!L525+'Budget Detail FY 2013-20'!L526</f>
        <v>4694</v>
      </c>
      <c r="D388" s="2">
        <f>'Budget Detail FY 2013-20'!M525+'Budget Detail FY 2013-20'!M526</f>
        <v>6358</v>
      </c>
      <c r="E388" s="2">
        <f>'Budget Detail FY 2013-20'!N525+'Budget Detail FY 2013-20'!N526</f>
        <v>2500</v>
      </c>
      <c r="F388" s="2">
        <f>'Budget Detail FY 2013-20'!O525+'Budget Detail FY 2013-20'!O526</f>
        <v>2500</v>
      </c>
      <c r="G388" s="2">
        <f>'Budget Detail FY 2013-20'!P525+'Budget Detail FY 2013-20'!P526</f>
        <v>4500</v>
      </c>
      <c r="H388" s="2">
        <f>'Budget Detail FY 2013-20'!Q525+'Budget Detail FY 2013-20'!Q526</f>
        <v>4500</v>
      </c>
      <c r="I388" s="2">
        <f>'Budget Detail FY 2013-20'!R525+'Budget Detail FY 2013-20'!R526</f>
        <v>4500</v>
      </c>
      <c r="J388" s="2">
        <f>'Budget Detail FY 2013-20'!S525+'Budget Detail FY 2013-20'!S526</f>
        <v>4500</v>
      </c>
      <c r="K388" s="2">
        <f>'Budget Detail FY 2013-20'!T525+'Budget Detail FY 2013-20'!T526</f>
        <v>4500</v>
      </c>
    </row>
    <row r="389" spans="2:12" ht="20.100000000000001" customHeight="1">
      <c r="B389" s="507" t="s">
        <v>839</v>
      </c>
      <c r="C389" s="2">
        <f>'Budget Detail FY 2013-20'!L527</f>
        <v>610</v>
      </c>
      <c r="D389" s="2">
        <f>'Budget Detail FY 2013-20'!M527</f>
        <v>78</v>
      </c>
      <c r="E389" s="2">
        <f>'Budget Detail FY 2013-20'!N527</f>
        <v>100</v>
      </c>
      <c r="F389" s="2">
        <f>'Budget Detail FY 2013-20'!O527</f>
        <v>5</v>
      </c>
      <c r="G389" s="2">
        <f>'Budget Detail FY 2013-20'!P527</f>
        <v>0</v>
      </c>
      <c r="H389" s="2">
        <f>'Budget Detail FY 2013-20'!Q527</f>
        <v>0</v>
      </c>
      <c r="I389" s="2">
        <f>'Budget Detail FY 2013-20'!R527</f>
        <v>0</v>
      </c>
      <c r="J389" s="2">
        <f>'Budget Detail FY 2013-20'!S527</f>
        <v>0</v>
      </c>
      <c r="K389" s="2">
        <f>'Budget Detail FY 2013-20'!T527</f>
        <v>0</v>
      </c>
    </row>
    <row r="390" spans="2:12" ht="20.100000000000001" customHeight="1">
      <c r="B390" s="507" t="s">
        <v>842</v>
      </c>
      <c r="C390" s="2">
        <f>SUM('Budget Detail FY 2013-20'!L528:L530)</f>
        <v>99465</v>
      </c>
      <c r="D390" s="2">
        <f>SUM('Budget Detail FY 2013-20'!M528:M530)</f>
        <v>0</v>
      </c>
      <c r="E390" s="2">
        <f>SUM('Budget Detail FY 2013-20'!N528:N530)</f>
        <v>0</v>
      </c>
      <c r="F390" s="2">
        <f>SUM('Budget Detail FY 2013-20'!O528:O530)</f>
        <v>2369891</v>
      </c>
      <c r="G390" s="2">
        <f>SUM('Budget Detail FY 2013-20'!P528:P530)</f>
        <v>132103</v>
      </c>
      <c r="H390" s="2">
        <f>SUM('Budget Detail FY 2013-20'!Q528:Q530)</f>
        <v>294411</v>
      </c>
      <c r="I390" s="2">
        <f>SUM('Budget Detail FY 2013-20'!R528:R530)</f>
        <v>315775</v>
      </c>
      <c r="J390" s="2">
        <f>SUM('Budget Detail FY 2013-20'!S528:S530)</f>
        <v>320275</v>
      </c>
      <c r="K390" s="2">
        <f>SUM('Budget Detail FY 2013-20'!T528:T530)</f>
        <v>319575</v>
      </c>
    </row>
    <row r="391" spans="2:12" ht="20.100000000000001" customHeight="1" thickBot="1">
      <c r="B391" s="153" t="s">
        <v>843</v>
      </c>
      <c r="C391" s="150">
        <f t="shared" ref="C391:H391" si="63">SUM(C387:C390)</f>
        <v>429531</v>
      </c>
      <c r="D391" s="150">
        <f>SUM(D387:D390)</f>
        <v>322226</v>
      </c>
      <c r="E391" s="150">
        <f t="shared" si="63"/>
        <v>332179</v>
      </c>
      <c r="F391" s="150">
        <f t="shared" si="63"/>
        <v>2700380</v>
      </c>
      <c r="G391" s="150">
        <f t="shared" si="63"/>
        <v>302130</v>
      </c>
      <c r="H391" s="150">
        <f t="shared" si="63"/>
        <v>320675</v>
      </c>
      <c r="I391" s="150">
        <f>SUM(I387:I390)</f>
        <v>320275</v>
      </c>
      <c r="J391" s="150">
        <f>SUM(J387:J390)</f>
        <v>324775</v>
      </c>
      <c r="K391" s="150">
        <f>SUM(K387:K390)</f>
        <v>324075</v>
      </c>
    </row>
    <row r="392" spans="2:12" s="569" customFormat="1" hidden="1">
      <c r="B392" s="155"/>
      <c r="C392" s="132">
        <f>'Budget Detail FY 2013-20'!L532</f>
        <v>429531</v>
      </c>
      <c r="D392" s="132">
        <f>'Budget Detail FY 2013-20'!M532</f>
        <v>322226</v>
      </c>
      <c r="E392" s="132">
        <f>'Budget Detail FY 2013-20'!N532</f>
        <v>332179</v>
      </c>
      <c r="F392" s="132">
        <f>'Budget Detail FY 2013-20'!O532</f>
        <v>2700380</v>
      </c>
      <c r="G392" s="132">
        <f>'Budget Detail FY 2013-20'!P532</f>
        <v>302130</v>
      </c>
      <c r="H392" s="132">
        <f>'Budget Detail FY 2013-20'!Q532</f>
        <v>320675</v>
      </c>
      <c r="I392" s="132">
        <f>'Budget Detail FY 2013-20'!R532</f>
        <v>320275</v>
      </c>
      <c r="J392" s="132">
        <f>'Budget Detail FY 2013-20'!S532</f>
        <v>324775</v>
      </c>
      <c r="K392" s="132">
        <f>'Budget Detail FY 2013-20'!T532</f>
        <v>324075</v>
      </c>
      <c r="L392" s="571" t="s">
        <v>1150</v>
      </c>
    </row>
    <row r="393" spans="2:12" s="570" customFormat="1" hidden="1">
      <c r="B393" s="157"/>
      <c r="C393" s="163">
        <f>C391-C392</f>
        <v>0</v>
      </c>
      <c r="D393" s="163">
        <f t="shared" ref="D393:K393" si="64">D391-D392</f>
        <v>0</v>
      </c>
      <c r="E393" s="163">
        <f t="shared" si="64"/>
        <v>0</v>
      </c>
      <c r="F393" s="163">
        <f t="shared" si="64"/>
        <v>0</v>
      </c>
      <c r="G393" s="163">
        <f t="shared" si="64"/>
        <v>0</v>
      </c>
      <c r="H393" s="163">
        <f t="shared" si="64"/>
        <v>0</v>
      </c>
      <c r="I393" s="163">
        <f t="shared" si="64"/>
        <v>0</v>
      </c>
      <c r="J393" s="163">
        <f t="shared" si="64"/>
        <v>0</v>
      </c>
      <c r="K393" s="163">
        <f t="shared" si="64"/>
        <v>0</v>
      </c>
      <c r="L393" s="571" t="s">
        <v>1151</v>
      </c>
    </row>
    <row r="394" spans="2:12">
      <c r="B394" s="1"/>
      <c r="C394" s="2"/>
      <c r="D394" s="2"/>
      <c r="E394" s="2"/>
      <c r="F394" s="2"/>
      <c r="G394" s="2"/>
      <c r="H394" s="2"/>
      <c r="I394" s="2"/>
      <c r="J394" s="2"/>
      <c r="K394" s="2"/>
    </row>
    <row r="395" spans="2:12">
      <c r="B395" s="158" t="s">
        <v>598</v>
      </c>
      <c r="C395" s="2"/>
      <c r="D395" s="2"/>
      <c r="E395" s="2"/>
      <c r="F395" s="2"/>
      <c r="G395" s="2"/>
      <c r="H395" s="2"/>
      <c r="I395" s="2"/>
      <c r="J395" s="2"/>
      <c r="K395" s="2"/>
    </row>
    <row r="396" spans="2:12" ht="20.100000000000001" customHeight="1">
      <c r="B396" s="508" t="s">
        <v>846</v>
      </c>
      <c r="C396" s="2">
        <f>'Budget Detail FY 2013-20'!L536+'Budget Detail FY 2013-20'!L535+'Budget Detail FY 2013-20'!L534</f>
        <v>589</v>
      </c>
      <c r="D396" s="2">
        <f>'Budget Detail FY 2013-20'!M536+'Budget Detail FY 2013-20'!M535+'Budget Detail FY 2013-20'!M534</f>
        <v>775</v>
      </c>
      <c r="E396" s="2">
        <f>'Budget Detail FY 2013-20'!N536+'Budget Detail FY 2013-20'!N535+'Budget Detail FY 2013-20'!N534</f>
        <v>775</v>
      </c>
      <c r="F396" s="2">
        <f>'Budget Detail FY 2013-20'!O536+'Budget Detail FY 2013-20'!O535+'Budget Detail FY 2013-20'!O534</f>
        <v>33895</v>
      </c>
      <c r="G396" s="2">
        <f>'Budget Detail FY 2013-20'!P536+'Budget Detail FY 2013-20'!P535+'Budget Detail FY 2013-20'!P534</f>
        <v>525</v>
      </c>
      <c r="H396" s="2">
        <f>'Budget Detail FY 2013-20'!Q536+'Budget Detail FY 2013-20'!Q535+'Budget Detail FY 2013-20'!Q534</f>
        <v>525</v>
      </c>
      <c r="I396" s="2">
        <f>'Budget Detail FY 2013-20'!R536+'Budget Detail FY 2013-20'!R535+'Budget Detail FY 2013-20'!R534</f>
        <v>525</v>
      </c>
      <c r="J396" s="2">
        <f>'Budget Detail FY 2013-20'!S536+'Budget Detail FY 2013-20'!S535+'Budget Detail FY 2013-20'!S534</f>
        <v>525</v>
      </c>
      <c r="K396" s="2">
        <f>'Budget Detail FY 2013-20'!T536+'Budget Detail FY 2013-20'!T535+'Budget Detail FY 2013-20'!T534</f>
        <v>525</v>
      </c>
    </row>
    <row r="397" spans="2:12" ht="20.100000000000001" customHeight="1">
      <c r="B397" s="508" t="s">
        <v>772</v>
      </c>
      <c r="C397" s="2">
        <f>SUM('Budget Detail FY 2013-20'!L538:L548)</f>
        <v>504407</v>
      </c>
      <c r="D397" s="2">
        <f>SUM('Budget Detail FY 2013-20'!M538:M548)</f>
        <v>328179</v>
      </c>
      <c r="E397" s="2">
        <f>SUM('Budget Detail FY 2013-20'!N538:N548)</f>
        <v>329579</v>
      </c>
      <c r="F397" s="2">
        <f>SUM('Budget Detail FY 2013-20'!O538:O548)</f>
        <v>304044</v>
      </c>
      <c r="G397" s="2">
        <f>SUM('Budget Detail FY 2013-20'!P538:P548)</f>
        <v>310250</v>
      </c>
      <c r="H397" s="2">
        <f>SUM('Budget Detail FY 2013-20'!Q538:Q548)</f>
        <v>320150</v>
      </c>
      <c r="I397" s="2">
        <f>SUM('Budget Detail FY 2013-20'!R538:R548)</f>
        <v>319750</v>
      </c>
      <c r="J397" s="2">
        <f>SUM('Budget Detail FY 2013-20'!S538:S548)</f>
        <v>324250</v>
      </c>
      <c r="K397" s="2">
        <f>SUM('Budget Detail FY 2013-20'!T538:T548)</f>
        <v>323550</v>
      </c>
    </row>
    <row r="398" spans="2:12" ht="20.100000000000001" customHeight="1">
      <c r="B398" s="507" t="s">
        <v>850</v>
      </c>
      <c r="C398" s="2">
        <f>'Budget Detail FY 2013-20'!L549</f>
        <v>0</v>
      </c>
      <c r="D398" s="2">
        <f>'Budget Detail FY 2013-20'!M549</f>
        <v>0</v>
      </c>
      <c r="E398" s="2">
        <f>'Budget Detail FY 2013-20'!N549</f>
        <v>0</v>
      </c>
      <c r="F398" s="2">
        <f>'Budget Detail FY 2013-20'!O549</f>
        <v>2359115</v>
      </c>
      <c r="G398" s="2">
        <f>'Budget Detail FY 2013-20'!P549</f>
        <v>0</v>
      </c>
      <c r="H398" s="2">
        <f>'Budget Detail FY 2013-20'!Q549</f>
        <v>0</v>
      </c>
      <c r="I398" s="2">
        <f>'Budget Detail FY 2013-20'!R549</f>
        <v>0</v>
      </c>
      <c r="J398" s="2">
        <f>'Budget Detail FY 2013-20'!S549</f>
        <v>0</v>
      </c>
      <c r="K398" s="2">
        <f>'Budget Detail FY 2013-20'!T549</f>
        <v>0</v>
      </c>
    </row>
    <row r="399" spans="2:12" ht="20.100000000000001" customHeight="1" thickBot="1">
      <c r="B399" s="153" t="s">
        <v>851</v>
      </c>
      <c r="C399" s="150">
        <f>SUM(C396:C398)</f>
        <v>504996</v>
      </c>
      <c r="D399" s="150">
        <f t="shared" ref="D399:K399" si="65">SUM(D396:D398)</f>
        <v>328954</v>
      </c>
      <c r="E399" s="150">
        <f t="shared" si="65"/>
        <v>330354</v>
      </c>
      <c r="F399" s="150">
        <f t="shared" si="65"/>
        <v>2697054</v>
      </c>
      <c r="G399" s="150">
        <f t="shared" si="65"/>
        <v>310775</v>
      </c>
      <c r="H399" s="150">
        <f t="shared" si="65"/>
        <v>320675</v>
      </c>
      <c r="I399" s="150">
        <f t="shared" si="65"/>
        <v>320275</v>
      </c>
      <c r="J399" s="150">
        <f t="shared" si="65"/>
        <v>324775</v>
      </c>
      <c r="K399" s="150">
        <f t="shared" si="65"/>
        <v>324075</v>
      </c>
    </row>
    <row r="400" spans="2:12" s="569" customFormat="1" hidden="1">
      <c r="B400" s="155"/>
      <c r="C400" s="132">
        <f>'Budget Detail FY 2013-20'!L551</f>
        <v>504996</v>
      </c>
      <c r="D400" s="132">
        <f>'Budget Detail FY 2013-20'!M551</f>
        <v>328954</v>
      </c>
      <c r="E400" s="132">
        <f>'Budget Detail FY 2013-20'!N551</f>
        <v>330354</v>
      </c>
      <c r="F400" s="132">
        <f>'Budget Detail FY 2013-20'!O551</f>
        <v>2697054</v>
      </c>
      <c r="G400" s="132">
        <f>'Budget Detail FY 2013-20'!P551</f>
        <v>310775</v>
      </c>
      <c r="H400" s="132">
        <f>'Budget Detail FY 2013-20'!Q551</f>
        <v>320675</v>
      </c>
      <c r="I400" s="132">
        <f>'Budget Detail FY 2013-20'!R551</f>
        <v>320275</v>
      </c>
      <c r="J400" s="132">
        <f>'Budget Detail FY 2013-20'!S551</f>
        <v>324775</v>
      </c>
      <c r="K400" s="132">
        <f>'Budget Detail FY 2013-20'!T551</f>
        <v>324075</v>
      </c>
      <c r="L400" s="571" t="s">
        <v>1150</v>
      </c>
    </row>
    <row r="401" spans="2:12" s="570" customFormat="1" hidden="1">
      <c r="B401" s="157"/>
      <c r="C401" s="163">
        <f>C399-C400</f>
        <v>0</v>
      </c>
      <c r="D401" s="163">
        <f t="shared" ref="D401:K401" si="66">D399-D400</f>
        <v>0</v>
      </c>
      <c r="E401" s="163">
        <f t="shared" si="66"/>
        <v>0</v>
      </c>
      <c r="F401" s="163">
        <f t="shared" si="66"/>
        <v>0</v>
      </c>
      <c r="G401" s="163">
        <f t="shared" si="66"/>
        <v>0</v>
      </c>
      <c r="H401" s="163">
        <f t="shared" si="66"/>
        <v>0</v>
      </c>
      <c r="I401" s="163">
        <f t="shared" si="66"/>
        <v>0</v>
      </c>
      <c r="J401" s="163">
        <f t="shared" si="66"/>
        <v>0</v>
      </c>
      <c r="K401" s="163">
        <f t="shared" si="66"/>
        <v>0</v>
      </c>
      <c r="L401" s="571" t="s">
        <v>1151</v>
      </c>
    </row>
    <row r="402" spans="2:12">
      <c r="B402" s="160"/>
      <c r="C402" s="3"/>
      <c r="D402" s="2"/>
      <c r="E402" s="2"/>
      <c r="F402" s="2"/>
      <c r="G402" s="2"/>
      <c r="H402" s="2"/>
      <c r="I402" s="2"/>
      <c r="J402" s="2"/>
      <c r="K402" s="2"/>
    </row>
    <row r="403" spans="2:12" ht="20.100000000000001" customHeight="1">
      <c r="B403" s="510" t="s">
        <v>852</v>
      </c>
      <c r="C403" s="3">
        <f t="shared" ref="C403:J403" si="67">+C391-C399</f>
        <v>-75465</v>
      </c>
      <c r="D403" s="3">
        <f t="shared" si="67"/>
        <v>-6728</v>
      </c>
      <c r="E403" s="3">
        <f t="shared" si="67"/>
        <v>1825</v>
      </c>
      <c r="F403" s="3">
        <f t="shared" si="67"/>
        <v>3326</v>
      </c>
      <c r="G403" s="3">
        <f t="shared" si="67"/>
        <v>-8645</v>
      </c>
      <c r="H403" s="3">
        <f t="shared" si="67"/>
        <v>0</v>
      </c>
      <c r="I403" s="3">
        <f t="shared" si="67"/>
        <v>0</v>
      </c>
      <c r="J403" s="3">
        <f t="shared" si="67"/>
        <v>0</v>
      </c>
      <c r="K403" s="3">
        <f>+K391-K399</f>
        <v>0</v>
      </c>
    </row>
    <row r="404" spans="2:12" s="569" customFormat="1" hidden="1">
      <c r="B404" s="161"/>
      <c r="C404" s="132">
        <f>'Budget Detail FY 2013-20'!L553</f>
        <v>-75465</v>
      </c>
      <c r="D404" s="132">
        <f>'Budget Detail FY 2013-20'!M553</f>
        <v>-6728</v>
      </c>
      <c r="E404" s="132">
        <f>'Budget Detail FY 2013-20'!N553</f>
        <v>1825</v>
      </c>
      <c r="F404" s="132">
        <f>'Budget Detail FY 2013-20'!O553</f>
        <v>3326</v>
      </c>
      <c r="G404" s="132">
        <f>'Budget Detail FY 2013-20'!P553</f>
        <v>-8645</v>
      </c>
      <c r="H404" s="132">
        <f>'Budget Detail FY 2013-20'!Q553</f>
        <v>0</v>
      </c>
      <c r="I404" s="132">
        <f>'Budget Detail FY 2013-20'!R553</f>
        <v>0</v>
      </c>
      <c r="J404" s="132">
        <f>'Budget Detail FY 2013-20'!S553</f>
        <v>0</v>
      </c>
      <c r="K404" s="132">
        <f>'Budget Detail FY 2013-20'!T553</f>
        <v>0</v>
      </c>
      <c r="L404" s="571" t="s">
        <v>1150</v>
      </c>
    </row>
    <row r="405" spans="2:12" s="570" customFormat="1" hidden="1">
      <c r="B405" s="162"/>
      <c r="C405" s="163">
        <f>C403-C404</f>
        <v>0</v>
      </c>
      <c r="D405" s="163">
        <f t="shared" ref="D405:K405" si="68">D403-D404</f>
        <v>0</v>
      </c>
      <c r="E405" s="163">
        <f t="shared" si="68"/>
        <v>0</v>
      </c>
      <c r="F405" s="163">
        <f t="shared" si="68"/>
        <v>0</v>
      </c>
      <c r="G405" s="163">
        <f t="shared" si="68"/>
        <v>0</v>
      </c>
      <c r="H405" s="163">
        <f t="shared" si="68"/>
        <v>0</v>
      </c>
      <c r="I405" s="163">
        <f t="shared" si="68"/>
        <v>0</v>
      </c>
      <c r="J405" s="163">
        <f t="shared" si="68"/>
        <v>0</v>
      </c>
      <c r="K405" s="163">
        <f t="shared" si="68"/>
        <v>0</v>
      </c>
      <c r="L405" s="571" t="s">
        <v>1151</v>
      </c>
    </row>
    <row r="406" spans="2:12">
      <c r="B406" s="164"/>
      <c r="C406" s="3"/>
      <c r="D406" s="2"/>
      <c r="E406" s="2"/>
      <c r="F406" s="2"/>
      <c r="G406" s="2"/>
      <c r="H406" s="2"/>
      <c r="I406" s="2"/>
      <c r="J406" s="2"/>
      <c r="K406" s="2"/>
    </row>
    <row r="407" spans="2:12" ht="20.100000000000001" customHeight="1" thickBot="1">
      <c r="B407" s="152" t="s">
        <v>853</v>
      </c>
      <c r="C407" s="83">
        <v>12046</v>
      </c>
      <c r="D407" s="83">
        <v>5319</v>
      </c>
      <c r="E407" s="83">
        <v>6207</v>
      </c>
      <c r="F407" s="83">
        <f>D407+F403</f>
        <v>8645</v>
      </c>
      <c r="G407" s="83">
        <f>F407+G403</f>
        <v>0</v>
      </c>
      <c r="H407" s="83">
        <f>G407+H403</f>
        <v>0</v>
      </c>
      <c r="I407" s="83">
        <f>H407+I403</f>
        <v>0</v>
      </c>
      <c r="J407" s="83">
        <f>I407+J403</f>
        <v>0</v>
      </c>
      <c r="K407" s="83">
        <f>J407+K403</f>
        <v>0</v>
      </c>
    </row>
    <row r="408" spans="2:12" s="569" customFormat="1" ht="15.75" hidden="1" customHeight="1" thickTop="1">
      <c r="B408" s="155"/>
      <c r="C408" s="132">
        <f>'Budget Detail FY 2013-20'!L555</f>
        <v>12046</v>
      </c>
      <c r="D408" s="132">
        <f>'Budget Detail FY 2013-20'!M555</f>
        <v>5319</v>
      </c>
      <c r="E408" s="132">
        <f>'Budget Detail FY 2013-20'!N555</f>
        <v>6207</v>
      </c>
      <c r="F408" s="132">
        <f>'Budget Detail FY 2013-20'!O555</f>
        <v>8645</v>
      </c>
      <c r="G408" s="132">
        <f>'Budget Detail FY 2013-20'!P555</f>
        <v>0</v>
      </c>
      <c r="H408" s="132">
        <f>'Budget Detail FY 2013-20'!Q555</f>
        <v>0</v>
      </c>
      <c r="I408" s="132">
        <f>'Budget Detail FY 2013-20'!R555</f>
        <v>0</v>
      </c>
      <c r="J408" s="132">
        <f>'Budget Detail FY 2013-20'!S555</f>
        <v>0</v>
      </c>
      <c r="K408" s="132">
        <f>'Budget Detail FY 2013-20'!T555</f>
        <v>0</v>
      </c>
      <c r="L408" s="571" t="s">
        <v>1150</v>
      </c>
    </row>
    <row r="409" spans="2:12" s="570" customFormat="1" ht="15" hidden="1" customHeight="1">
      <c r="B409" s="157"/>
      <c r="C409" s="163">
        <f>C407-C408</f>
        <v>0</v>
      </c>
      <c r="D409" s="163">
        <f t="shared" ref="D409:K409" si="69">D407-D408</f>
        <v>0</v>
      </c>
      <c r="E409" s="163">
        <f t="shared" si="69"/>
        <v>0</v>
      </c>
      <c r="F409" s="163">
        <f t="shared" si="69"/>
        <v>0</v>
      </c>
      <c r="G409" s="163">
        <f t="shared" si="69"/>
        <v>0</v>
      </c>
      <c r="H409" s="163">
        <f t="shared" si="69"/>
        <v>0</v>
      </c>
      <c r="I409" s="163">
        <f t="shared" si="69"/>
        <v>0</v>
      </c>
      <c r="J409" s="163">
        <f t="shared" si="69"/>
        <v>0</v>
      </c>
      <c r="K409" s="163">
        <f t="shared" si="69"/>
        <v>0</v>
      </c>
      <c r="L409" s="571" t="s">
        <v>1151</v>
      </c>
    </row>
    <row r="410" spans="2:12" ht="15.75" thickTop="1">
      <c r="B410" s="165"/>
      <c r="C410" s="3"/>
      <c r="D410" s="3"/>
      <c r="E410" s="3"/>
      <c r="F410" s="2"/>
      <c r="G410" s="2"/>
      <c r="H410" s="2"/>
      <c r="I410" s="2"/>
      <c r="J410" s="2"/>
      <c r="K410" s="2"/>
    </row>
    <row r="411" spans="2:12">
      <c r="B411" s="165"/>
      <c r="C411" s="2"/>
      <c r="D411" s="2"/>
      <c r="E411" s="2"/>
      <c r="F411" s="2"/>
      <c r="G411" s="2"/>
      <c r="H411" s="2"/>
      <c r="I411" s="2"/>
      <c r="J411" s="2"/>
      <c r="K411" s="2"/>
    </row>
    <row r="412" spans="2:12">
      <c r="B412" s="1"/>
      <c r="C412" s="2"/>
      <c r="D412" s="2"/>
      <c r="E412" s="2"/>
      <c r="F412" s="2"/>
      <c r="G412" s="2"/>
      <c r="H412" s="2"/>
      <c r="I412" s="2"/>
      <c r="J412" s="2"/>
      <c r="K412" s="2"/>
    </row>
    <row r="413" spans="2:12">
      <c r="B413" s="1"/>
      <c r="C413" s="2"/>
      <c r="D413" s="2"/>
      <c r="E413" s="2"/>
      <c r="F413" s="2"/>
      <c r="G413" s="2"/>
      <c r="H413" s="2"/>
      <c r="I413" s="2"/>
      <c r="J413" s="2"/>
      <c r="K413" s="2"/>
    </row>
    <row r="414" spans="2:12">
      <c r="B414" s="1"/>
      <c r="C414" s="2"/>
      <c r="D414" s="2"/>
      <c r="E414" s="2"/>
      <c r="F414" s="2"/>
      <c r="G414" s="2"/>
      <c r="H414" s="2"/>
      <c r="I414" s="2"/>
      <c r="J414" s="2"/>
      <c r="K414" s="2"/>
    </row>
    <row r="415" spans="2:12">
      <c r="B415" s="1"/>
      <c r="C415" s="2"/>
      <c r="D415" s="2"/>
      <c r="E415" s="2"/>
      <c r="F415" s="2"/>
      <c r="G415" s="2"/>
      <c r="H415" s="2"/>
      <c r="I415" s="2"/>
      <c r="J415" s="2"/>
      <c r="K415" s="2"/>
    </row>
    <row r="416" spans="2:12">
      <c r="B416" s="1"/>
      <c r="C416" s="2"/>
      <c r="D416" s="2"/>
      <c r="E416" s="2"/>
      <c r="F416" s="2"/>
      <c r="G416" s="2"/>
      <c r="H416" s="2"/>
      <c r="I416" s="2"/>
      <c r="J416" s="2"/>
      <c r="K416" s="2"/>
    </row>
    <row r="417" spans="2:11">
      <c r="B417" s="1"/>
      <c r="C417" s="2"/>
      <c r="D417" s="2"/>
      <c r="E417" s="2"/>
      <c r="F417" s="2"/>
      <c r="G417" s="2"/>
      <c r="H417" s="2"/>
      <c r="I417" s="2"/>
      <c r="J417" s="2"/>
      <c r="K417" s="2"/>
    </row>
    <row r="418" spans="2:11">
      <c r="B418" s="1"/>
      <c r="C418" s="2"/>
      <c r="D418" s="2"/>
      <c r="E418" s="2"/>
      <c r="F418" s="2"/>
      <c r="G418" s="2"/>
      <c r="H418" s="2"/>
      <c r="I418" s="2"/>
      <c r="J418" s="2"/>
      <c r="K418" s="2"/>
    </row>
    <row r="419" spans="2:11">
      <c r="B419" s="1"/>
      <c r="C419" s="2"/>
      <c r="D419" s="2"/>
      <c r="E419" s="2"/>
      <c r="F419" s="2"/>
      <c r="G419" s="2"/>
      <c r="H419" s="2"/>
      <c r="I419" s="2"/>
      <c r="J419" s="2"/>
      <c r="K419" s="2"/>
    </row>
    <row r="420" spans="2:11">
      <c r="B420" s="1"/>
      <c r="C420" s="2"/>
      <c r="D420" s="2"/>
      <c r="E420" s="2"/>
      <c r="F420" s="2"/>
      <c r="G420" s="2"/>
      <c r="H420" s="2"/>
      <c r="I420" s="2"/>
      <c r="J420" s="2"/>
      <c r="K420" s="2"/>
    </row>
    <row r="421" spans="2:11">
      <c r="B421" s="1"/>
      <c r="C421" s="2"/>
      <c r="D421" s="2"/>
      <c r="E421" s="2"/>
      <c r="F421" s="2"/>
      <c r="G421" s="2"/>
      <c r="H421" s="2"/>
      <c r="I421" s="2"/>
      <c r="J421" s="2"/>
      <c r="K421" s="2"/>
    </row>
    <row r="423" spans="2:11">
      <c r="B423" s="740" t="s">
        <v>862</v>
      </c>
      <c r="C423" s="740"/>
      <c r="D423" s="740"/>
      <c r="E423" s="740"/>
      <c r="F423" s="740"/>
      <c r="G423" s="740"/>
      <c r="H423" s="740"/>
      <c r="I423" s="740"/>
      <c r="J423" s="740"/>
      <c r="K423" s="740"/>
    </row>
    <row r="424" spans="2:11">
      <c r="B424" s="65"/>
      <c r="C424" s="3"/>
      <c r="D424" s="2"/>
      <c r="E424" s="2"/>
      <c r="F424" s="2"/>
      <c r="G424" s="2"/>
      <c r="H424" s="2"/>
      <c r="I424" s="2"/>
      <c r="J424" s="2"/>
      <c r="K424" s="2"/>
    </row>
    <row r="425" spans="2:11" ht="12.75" customHeight="1">
      <c r="B425" s="731" t="s">
        <v>863</v>
      </c>
      <c r="C425" s="731"/>
      <c r="D425" s="731"/>
      <c r="E425" s="731"/>
      <c r="F425" s="731"/>
      <c r="G425" s="731"/>
      <c r="H425" s="731"/>
      <c r="I425" s="731"/>
      <c r="J425" s="731"/>
      <c r="K425" s="731"/>
    </row>
    <row r="426" spans="2:11" ht="18" customHeight="1">
      <c r="B426" s="731"/>
      <c r="C426" s="731"/>
      <c r="D426" s="731"/>
      <c r="E426" s="731"/>
      <c r="F426" s="731"/>
      <c r="G426" s="731"/>
      <c r="H426" s="731"/>
      <c r="I426" s="731"/>
      <c r="J426" s="731"/>
      <c r="K426" s="731"/>
    </row>
    <row r="427" spans="2:11" ht="7.5" customHeight="1">
      <c r="B427" s="563"/>
      <c r="C427" s="22"/>
      <c r="D427" s="22"/>
      <c r="E427" s="22"/>
      <c r="F427" s="2"/>
      <c r="G427" s="2"/>
      <c r="H427" s="2"/>
      <c r="I427" s="2"/>
      <c r="J427" s="2"/>
      <c r="K427" s="2"/>
    </row>
    <row r="428" spans="2:11">
      <c r="B428" s="5"/>
      <c r="C428" s="65"/>
      <c r="D428" s="66"/>
      <c r="E428" s="65" t="s">
        <v>270</v>
      </c>
      <c r="F428" s="1"/>
      <c r="G428" s="1"/>
      <c r="H428" s="1"/>
      <c r="I428" s="1"/>
      <c r="J428" s="1"/>
      <c r="K428" s="1"/>
    </row>
    <row r="429" spans="2:11">
      <c r="B429" s="66"/>
      <c r="C429" s="65" t="s">
        <v>257</v>
      </c>
      <c r="D429" s="49" t="s">
        <v>258</v>
      </c>
      <c r="E429" s="66" t="s">
        <v>832</v>
      </c>
      <c r="F429" s="66" t="s">
        <v>270</v>
      </c>
      <c r="G429" s="66" t="s">
        <v>271</v>
      </c>
      <c r="H429" s="66" t="s">
        <v>272</v>
      </c>
      <c r="I429" s="66" t="s">
        <v>996</v>
      </c>
      <c r="J429" s="66" t="s">
        <v>1101</v>
      </c>
      <c r="K429" s="66" t="s">
        <v>1136</v>
      </c>
    </row>
    <row r="430" spans="2:11" ht="15.75" thickBot="1">
      <c r="B430" s="169"/>
      <c r="C430" s="68" t="s">
        <v>1</v>
      </c>
      <c r="D430" s="68" t="s">
        <v>1</v>
      </c>
      <c r="E430" s="68" t="s">
        <v>787</v>
      </c>
      <c r="F430" s="68" t="s">
        <v>19</v>
      </c>
      <c r="G430" s="68" t="s">
        <v>832</v>
      </c>
      <c r="H430" s="68" t="s">
        <v>19</v>
      </c>
      <c r="I430" s="68" t="s">
        <v>19</v>
      </c>
      <c r="J430" s="68" t="s">
        <v>19</v>
      </c>
      <c r="K430" s="68" t="s">
        <v>19</v>
      </c>
    </row>
    <row r="431" spans="2:11">
      <c r="B431" s="64"/>
      <c r="C431" s="170"/>
      <c r="D431" s="2"/>
      <c r="E431" s="2"/>
      <c r="F431" s="2"/>
      <c r="G431" s="2"/>
      <c r="H431" s="2"/>
      <c r="I431" s="2"/>
      <c r="J431" s="2"/>
      <c r="K431" s="2"/>
    </row>
    <row r="432" spans="2:11">
      <c r="B432" s="158" t="s">
        <v>833</v>
      </c>
      <c r="C432" s="2"/>
      <c r="D432" s="2"/>
      <c r="E432" s="2"/>
      <c r="F432" s="2"/>
      <c r="G432" s="2"/>
      <c r="H432" s="2"/>
      <c r="I432" s="2"/>
      <c r="J432" s="2"/>
      <c r="K432" s="2"/>
    </row>
    <row r="433" spans="2:12" ht="20.100000000000001" customHeight="1">
      <c r="B433" s="507" t="s">
        <v>834</v>
      </c>
      <c r="C433" s="2">
        <f>'Budget Detail FY 2013-20'!L559</f>
        <v>132793</v>
      </c>
      <c r="D433" s="2">
        <f>'Budget Detail FY 2013-20'!M559</f>
        <v>41403</v>
      </c>
      <c r="E433" s="2">
        <f>'Budget Detail FY 2013-20'!N559</f>
        <v>5235</v>
      </c>
      <c r="F433" s="2">
        <f>'Budget Detail FY 2013-20'!O559</f>
        <v>5210</v>
      </c>
      <c r="G433" s="2">
        <f>'Budget Detail FY 2013-20'!P559</f>
        <v>0</v>
      </c>
      <c r="H433" s="2">
        <f>'Budget Detail FY 2013-20'!Q559</f>
        <v>0</v>
      </c>
      <c r="I433" s="2">
        <f>'Budget Detail FY 2013-20'!R559</f>
        <v>0</v>
      </c>
      <c r="J433" s="2">
        <f>'Budget Detail FY 2013-20'!S559</f>
        <v>0</v>
      </c>
      <c r="K433" s="2">
        <f>'Budget Detail FY 2013-20'!T559</f>
        <v>0</v>
      </c>
    </row>
    <row r="434" spans="2:12" ht="20.100000000000001" customHeight="1">
      <c r="B434" s="506" t="s">
        <v>836</v>
      </c>
      <c r="C434" s="2">
        <f>'Budget Detail FY 2013-20'!L560</f>
        <v>80880</v>
      </c>
      <c r="D434" s="2">
        <f>'Budget Detail FY 2013-20'!M560</f>
        <v>84544</v>
      </c>
      <c r="E434" s="2">
        <f>'Budget Detail FY 2013-20'!N560</f>
        <v>0</v>
      </c>
      <c r="F434" s="2">
        <f>'Budget Detail FY 2013-20'!O560</f>
        <v>0</v>
      </c>
      <c r="G434" s="2">
        <f>'Budget Detail FY 2013-20'!P560</f>
        <v>0</v>
      </c>
      <c r="H434" s="2">
        <f>'Budget Detail FY 2013-20'!Q560</f>
        <v>0</v>
      </c>
      <c r="I434" s="2">
        <f>'Budget Detail FY 2013-20'!R560</f>
        <v>0</v>
      </c>
      <c r="J434" s="2">
        <f>'Budget Detail FY 2013-20'!S560</f>
        <v>0</v>
      </c>
      <c r="K434" s="2">
        <f>'Budget Detail FY 2013-20'!T560</f>
        <v>0</v>
      </c>
    </row>
    <row r="435" spans="2:12" ht="20.100000000000001" customHeight="1">
      <c r="B435" s="507" t="s">
        <v>838</v>
      </c>
      <c r="C435" s="2">
        <f>SUM('Budget Detail FY 2013-20'!L561:L566)</f>
        <v>2742476</v>
      </c>
      <c r="D435" s="2">
        <f>SUM('Budget Detail FY 2013-20'!M561:M566)</f>
        <v>2309950</v>
      </c>
      <c r="E435" s="2">
        <f>SUM('Budget Detail FY 2013-20'!N561:N566)</f>
        <v>2693000</v>
      </c>
      <c r="F435" s="2">
        <f>SUM('Budget Detail FY 2013-20'!O561:O566)</f>
        <v>2443361</v>
      </c>
      <c r="G435" s="2">
        <f>SUM('Budget Detail FY 2013-20'!P561:P566)</f>
        <v>3240437</v>
      </c>
      <c r="H435" s="2">
        <f>SUM('Budget Detail FY 2013-20'!Q561:Q566)</f>
        <v>3653207</v>
      </c>
      <c r="I435" s="2">
        <f>SUM('Budget Detail FY 2013-20'!R561:R566)</f>
        <v>3653207</v>
      </c>
      <c r="J435" s="2">
        <f>SUM('Budget Detail FY 2013-20'!S561:S566)</f>
        <v>3653207</v>
      </c>
      <c r="K435" s="2">
        <f>SUM('Budget Detail FY 2013-20'!T561:T566)</f>
        <v>3786192</v>
      </c>
    </row>
    <row r="436" spans="2:12" ht="20.100000000000001" customHeight="1">
      <c r="B436" s="507" t="s">
        <v>839</v>
      </c>
      <c r="C436" s="2">
        <f>'Budget Detail FY 2013-20'!L567</f>
        <v>2203</v>
      </c>
      <c r="D436" s="2">
        <f>'Budget Detail FY 2013-20'!M567</f>
        <v>2231</v>
      </c>
      <c r="E436" s="2">
        <f>'Budget Detail FY 2013-20'!N567</f>
        <v>2200</v>
      </c>
      <c r="F436" s="2">
        <f>'Budget Detail FY 2013-20'!O567</f>
        <v>1250</v>
      </c>
      <c r="G436" s="2">
        <f>'Budget Detail FY 2013-20'!P567</f>
        <v>500</v>
      </c>
      <c r="H436" s="2">
        <f>'Budget Detail FY 2013-20'!Q567</f>
        <v>500</v>
      </c>
      <c r="I436" s="2">
        <f>'Budget Detail FY 2013-20'!R567</f>
        <v>500</v>
      </c>
      <c r="J436" s="2">
        <f>'Budget Detail FY 2013-20'!S567</f>
        <v>500</v>
      </c>
      <c r="K436" s="2">
        <f>'Budget Detail FY 2013-20'!T567</f>
        <v>500</v>
      </c>
    </row>
    <row r="437" spans="2:12" ht="20.100000000000001" customHeight="1">
      <c r="B437" s="507" t="s">
        <v>840</v>
      </c>
      <c r="C437" s="2">
        <f>SUM('Budget Detail FY 2013-20'!L568:L570)</f>
        <v>10476</v>
      </c>
      <c r="D437" s="2">
        <f>SUM('Budget Detail FY 2013-20'!M568:M570)</f>
        <v>14844</v>
      </c>
      <c r="E437" s="2">
        <f>SUM('Budget Detail FY 2013-20'!N568:N570)</f>
        <v>0</v>
      </c>
      <c r="F437" s="2">
        <f>SUM('Budget Detail FY 2013-20'!O568:O570)</f>
        <v>500</v>
      </c>
      <c r="G437" s="2">
        <f>SUM('Budget Detail FY 2013-20'!P568:P570)</f>
        <v>0</v>
      </c>
      <c r="H437" s="2">
        <f>SUM('Budget Detail FY 2013-20'!Q568:Q570)</f>
        <v>0</v>
      </c>
      <c r="I437" s="2">
        <f>SUM('Budget Detail FY 2013-20'!R568:R570)</f>
        <v>0</v>
      </c>
      <c r="J437" s="2">
        <f>SUM('Budget Detail FY 2013-20'!S568:S570)</f>
        <v>0</v>
      </c>
      <c r="K437" s="2">
        <f>SUM('Budget Detail FY 2013-20'!T568:T570)</f>
        <v>0</v>
      </c>
    </row>
    <row r="438" spans="2:12" ht="20.100000000000001" customHeight="1">
      <c r="B438" s="507" t="s">
        <v>841</v>
      </c>
      <c r="C438" s="2">
        <f>SUM('Budget Detail FY 2013-20'!L571:L572)</f>
        <v>53223</v>
      </c>
      <c r="D438" s="2">
        <f>SUM('Budget Detail FY 2013-20'!M571:M572)</f>
        <v>51917</v>
      </c>
      <c r="E438" s="2">
        <f>SUM('Budget Detail FY 2013-20'!N571:N572)</f>
        <v>55203</v>
      </c>
      <c r="F438" s="2">
        <f>SUM('Budget Detail FY 2013-20'!O571:O572)</f>
        <v>57003</v>
      </c>
      <c r="G438" s="2">
        <f>SUM('Budget Detail FY 2013-20'!P571:P572)</f>
        <v>56307</v>
      </c>
      <c r="H438" s="2">
        <f>SUM('Budget Detail FY 2013-20'!Q571:Q572)</f>
        <v>57433</v>
      </c>
      <c r="I438" s="2">
        <f>SUM('Budget Detail FY 2013-20'!R571:R572)</f>
        <v>58582</v>
      </c>
      <c r="J438" s="2">
        <f>SUM('Budget Detail FY 2013-20'!S571:S572)</f>
        <v>59754</v>
      </c>
      <c r="K438" s="2">
        <f>SUM('Budget Detail FY 2013-20'!T571:T572)</f>
        <v>60949</v>
      </c>
    </row>
    <row r="439" spans="2:12" ht="20.100000000000001" customHeight="1">
      <c r="B439" s="507" t="s">
        <v>842</v>
      </c>
      <c r="C439" s="2">
        <f>SUM('Budget Detail FY 2013-20'!L573:L574)</f>
        <v>82288</v>
      </c>
      <c r="D439" s="2">
        <f>SUM('Budget Detail FY 2013-20'!M573:M574)</f>
        <v>82988</v>
      </c>
      <c r="E439" s="2">
        <f>SUM('Budget Detail FY 2013-20'!N573:N574)</f>
        <v>83588</v>
      </c>
      <c r="F439" s="2">
        <f>SUM('Budget Detail FY 2013-20'!O573:O574)</f>
        <v>83588</v>
      </c>
      <c r="G439" s="2">
        <f>SUM('Budget Detail FY 2013-20'!P573:P574)</f>
        <v>4376275</v>
      </c>
      <c r="H439" s="2">
        <f>SUM('Budget Detail FY 2013-20'!Q573:Q574)</f>
        <v>75075</v>
      </c>
      <c r="I439" s="2">
        <f>SUM('Budget Detail FY 2013-20'!R573:R574)</f>
        <v>73875</v>
      </c>
      <c r="J439" s="2">
        <f>SUM('Budget Detail FY 2013-20'!S573:S574)</f>
        <v>77675</v>
      </c>
      <c r="K439" s="2">
        <f>SUM('Budget Detail FY 2013-20'!T573:T574)</f>
        <v>73875</v>
      </c>
    </row>
    <row r="440" spans="2:12" ht="20.100000000000001" customHeight="1" thickBot="1">
      <c r="B440" s="153" t="s">
        <v>843</v>
      </c>
      <c r="C440" s="150">
        <f t="shared" ref="C440:J440" si="70">SUM(C433:C439)</f>
        <v>3104339</v>
      </c>
      <c r="D440" s="150">
        <f>SUM(D433:D439)</f>
        <v>2587877</v>
      </c>
      <c r="E440" s="150">
        <f t="shared" si="70"/>
        <v>2839226</v>
      </c>
      <c r="F440" s="150">
        <f t="shared" si="70"/>
        <v>2590912</v>
      </c>
      <c r="G440" s="150">
        <f t="shared" si="70"/>
        <v>7673519</v>
      </c>
      <c r="H440" s="150">
        <f t="shared" si="70"/>
        <v>3786215</v>
      </c>
      <c r="I440" s="150">
        <f t="shared" si="70"/>
        <v>3786164</v>
      </c>
      <c r="J440" s="150">
        <f t="shared" si="70"/>
        <v>3791136</v>
      </c>
      <c r="K440" s="150">
        <f>SUM(K433:K439)</f>
        <v>3921516</v>
      </c>
    </row>
    <row r="441" spans="2:12" s="569" customFormat="1" hidden="1">
      <c r="B441" s="155"/>
      <c r="C441" s="132">
        <f>'Budget Detail FY 2013-20'!L576</f>
        <v>3104339</v>
      </c>
      <c r="D441" s="132">
        <f>'Budget Detail FY 2013-20'!M576</f>
        <v>2587877</v>
      </c>
      <c r="E441" s="132">
        <f>'Budget Detail FY 2013-20'!N576</f>
        <v>2839226</v>
      </c>
      <c r="F441" s="132">
        <f>'Budget Detail FY 2013-20'!O576</f>
        <v>2590912</v>
      </c>
      <c r="G441" s="132">
        <f>'Budget Detail FY 2013-20'!P576</f>
        <v>7673519</v>
      </c>
      <c r="H441" s="132">
        <f>'Budget Detail FY 2013-20'!Q576</f>
        <v>3786215</v>
      </c>
      <c r="I441" s="132">
        <f>'Budget Detail FY 2013-20'!R576</f>
        <v>3786164</v>
      </c>
      <c r="J441" s="132">
        <f>'Budget Detail FY 2013-20'!S576</f>
        <v>3791136</v>
      </c>
      <c r="K441" s="132">
        <f>'Budget Detail FY 2013-20'!T576</f>
        <v>3921516</v>
      </c>
      <c r="L441" s="571" t="s">
        <v>1150</v>
      </c>
    </row>
    <row r="442" spans="2:12" s="570" customFormat="1" hidden="1">
      <c r="B442" s="157"/>
      <c r="C442" s="133">
        <f>C440-C441</f>
        <v>0</v>
      </c>
      <c r="D442" s="133">
        <f t="shared" ref="D442:K442" si="71">D440-D441</f>
        <v>0</v>
      </c>
      <c r="E442" s="133">
        <f t="shared" si="71"/>
        <v>0</v>
      </c>
      <c r="F442" s="133">
        <f t="shared" si="71"/>
        <v>0</v>
      </c>
      <c r="G442" s="133">
        <f t="shared" si="71"/>
        <v>0</v>
      </c>
      <c r="H442" s="133">
        <f t="shared" si="71"/>
        <v>0</v>
      </c>
      <c r="I442" s="133">
        <f t="shared" si="71"/>
        <v>0</v>
      </c>
      <c r="J442" s="133">
        <f t="shared" si="71"/>
        <v>0</v>
      </c>
      <c r="K442" s="133">
        <f t="shared" si="71"/>
        <v>0</v>
      </c>
      <c r="L442" s="571" t="s">
        <v>1151</v>
      </c>
    </row>
    <row r="443" spans="2:12" ht="7.5" customHeight="1">
      <c r="B443" s="1"/>
      <c r="C443" s="2"/>
      <c r="D443" s="2"/>
      <c r="E443" s="2"/>
      <c r="F443" s="2"/>
      <c r="G443" s="2"/>
      <c r="H443" s="2"/>
      <c r="I443" s="2"/>
      <c r="J443" s="2"/>
      <c r="K443" s="2"/>
    </row>
    <row r="444" spans="2:12">
      <c r="B444" s="158" t="s">
        <v>600</v>
      </c>
      <c r="C444" s="2"/>
      <c r="D444" s="2"/>
      <c r="E444" s="2"/>
      <c r="F444" s="2"/>
      <c r="G444" s="2"/>
      <c r="H444" s="2"/>
      <c r="I444" s="2"/>
      <c r="J444" s="2"/>
      <c r="K444" s="2"/>
    </row>
    <row r="445" spans="2:12" ht="20.100000000000001" customHeight="1">
      <c r="B445" s="508" t="s">
        <v>844</v>
      </c>
      <c r="C445" s="2">
        <f>SUM('Budget Detail FY 2013-20'!L579:L581)</f>
        <v>337375</v>
      </c>
      <c r="D445" s="2">
        <f>SUM('Budget Detail FY 2013-20'!M579:M581)</f>
        <v>338959</v>
      </c>
      <c r="E445" s="2">
        <f>SUM('Budget Detail FY 2013-20'!N579:N581)</f>
        <v>351860</v>
      </c>
      <c r="F445" s="2">
        <f>SUM('Budget Detail FY 2013-20'!O579:O581)</f>
        <v>351860</v>
      </c>
      <c r="G445" s="2">
        <f>SUM('Budget Detail FY 2013-20'!P579:P581)</f>
        <v>411332</v>
      </c>
      <c r="H445" s="2">
        <f>SUM('Budget Detail FY 2013-20'!Q579:Q581)</f>
        <v>424266</v>
      </c>
      <c r="I445" s="2">
        <f>SUM('Budget Detail FY 2013-20'!R579:R581)</f>
        <v>437652</v>
      </c>
      <c r="J445" s="2">
        <f>SUM('Budget Detail FY 2013-20'!S579:S581)</f>
        <v>451507</v>
      </c>
      <c r="K445" s="2">
        <f>SUM('Budget Detail FY 2013-20'!T579:T581)</f>
        <v>465847</v>
      </c>
    </row>
    <row r="446" spans="2:12" ht="20.100000000000001" customHeight="1">
      <c r="B446" s="508" t="s">
        <v>845</v>
      </c>
      <c r="C446" s="2">
        <f>SUM('Budget Detail FY 2013-20'!L582:L589)</f>
        <v>175472</v>
      </c>
      <c r="D446" s="2">
        <f>SUM('Budget Detail FY 2013-20'!M582:M589)</f>
        <v>185769</v>
      </c>
      <c r="E446" s="2">
        <f>SUM('Budget Detail FY 2013-20'!N582:N589)</f>
        <v>215055</v>
      </c>
      <c r="F446" s="2">
        <f>SUM('Budget Detail FY 2013-20'!O582:O589)</f>
        <v>209774</v>
      </c>
      <c r="G446" s="2">
        <f>SUM('Budget Detail FY 2013-20'!P582:P589)</f>
        <v>240029</v>
      </c>
      <c r="H446" s="2">
        <f>SUM('Budget Detail FY 2013-20'!Q582:Q589)</f>
        <v>257923</v>
      </c>
      <c r="I446" s="2">
        <f>SUM('Budget Detail FY 2013-20'!R582:R589)</f>
        <v>276889</v>
      </c>
      <c r="J446" s="2">
        <f>SUM('Budget Detail FY 2013-20'!S582:S589)</f>
        <v>297378</v>
      </c>
      <c r="K446" s="2">
        <f>SUM('Budget Detail FY 2013-20'!T582:T589)</f>
        <v>319505</v>
      </c>
    </row>
    <row r="447" spans="2:12" ht="20.100000000000001" customHeight="1">
      <c r="B447" s="508" t="s">
        <v>846</v>
      </c>
      <c r="C447" s="2">
        <f>SUM('Budget Detail FY 2013-20'!L590:L612)</f>
        <v>490186</v>
      </c>
      <c r="D447" s="2">
        <f>SUM('Budget Detail FY 2013-20'!M590:M612)</f>
        <v>540175</v>
      </c>
      <c r="E447" s="2">
        <f>SUM('Budget Detail FY 2013-20'!N590:N612)</f>
        <v>485700</v>
      </c>
      <c r="F447" s="2">
        <f>SUM('Budget Detail FY 2013-20'!O590:O612)</f>
        <v>520835</v>
      </c>
      <c r="G447" s="2">
        <f>SUM('Budget Detail FY 2013-20'!P590:P612)</f>
        <v>816370</v>
      </c>
      <c r="H447" s="2">
        <f>SUM('Budget Detail FY 2013-20'!Q590:Q612)</f>
        <v>529427</v>
      </c>
      <c r="I447" s="2">
        <f>SUM('Budget Detail FY 2013-20'!R590:R612)</f>
        <v>546235</v>
      </c>
      <c r="J447" s="2">
        <f>SUM('Budget Detail FY 2013-20'!S590:S612)</f>
        <v>564051</v>
      </c>
      <c r="K447" s="2">
        <f>SUM('Budget Detail FY 2013-20'!T590:T612)</f>
        <v>582346</v>
      </c>
    </row>
    <row r="448" spans="2:12" ht="20.100000000000001" customHeight="1">
      <c r="B448" s="508" t="s">
        <v>847</v>
      </c>
      <c r="C448" s="2">
        <f>SUM('Budget Detail FY 2013-20'!L613:L622)</f>
        <v>243224</v>
      </c>
      <c r="D448" s="2">
        <f>SUM('Budget Detail FY 2013-20'!M613:M622)</f>
        <v>243529</v>
      </c>
      <c r="E448" s="2">
        <f>SUM('Budget Detail FY 2013-20'!N613:N622)</f>
        <v>301234</v>
      </c>
      <c r="F448" s="2">
        <f>SUM('Budget Detail FY 2013-20'!O613:O622)</f>
        <v>301234</v>
      </c>
      <c r="G448" s="2">
        <f>SUM('Budget Detail FY 2013-20'!P613:P622)</f>
        <v>302995</v>
      </c>
      <c r="H448" s="2">
        <f>SUM('Budget Detail FY 2013-20'!Q613:Q622)</f>
        <v>306481</v>
      </c>
      <c r="I448" s="2">
        <f>SUM('Budget Detail FY 2013-20'!R613:R622)</f>
        <v>310207</v>
      </c>
      <c r="J448" s="2">
        <f>SUM('Budget Detail FY 2013-20'!S613:S622)</f>
        <v>314189</v>
      </c>
      <c r="K448" s="2">
        <f>SUM('Budget Detail FY 2013-20'!T613:T622)</f>
        <v>318445</v>
      </c>
    </row>
    <row r="449" spans="2:12" ht="20.100000000000001" customHeight="1">
      <c r="B449" s="508" t="s">
        <v>848</v>
      </c>
      <c r="C449" s="2">
        <f>SUM('Budget Detail FY 2013-20'!L623:L629)</f>
        <v>75305</v>
      </c>
      <c r="D449" s="2">
        <f>SUM('Budget Detail FY 2013-20'!M623:M629)</f>
        <v>282399</v>
      </c>
      <c r="E449" s="2">
        <f>SUM('Budget Detail FY 2013-20'!N623:N629)</f>
        <v>571548</v>
      </c>
      <c r="F449" s="2">
        <f>SUM('Budget Detail FY 2013-20'!O623:O629)</f>
        <v>555544</v>
      </c>
      <c r="G449" s="2">
        <f>SUM('Budget Detail FY 2013-20'!P623:P629)</f>
        <v>4948544</v>
      </c>
      <c r="H449" s="2">
        <f>SUM('Budget Detail FY 2013-20'!Q623:Q629)</f>
        <v>537544</v>
      </c>
      <c r="I449" s="2">
        <f>SUM('Budget Detail FY 2013-20'!R623:R629)</f>
        <v>949794</v>
      </c>
      <c r="J449" s="2">
        <f>SUM('Budget Detail FY 2013-20'!S623:S629)</f>
        <v>906794</v>
      </c>
      <c r="K449" s="2">
        <f>SUM('Budget Detail FY 2013-20'!T623:T629)</f>
        <v>452544</v>
      </c>
    </row>
    <row r="450" spans="2:12" ht="20.100000000000001" customHeight="1">
      <c r="B450" s="509" t="s">
        <v>864</v>
      </c>
      <c r="C450" s="2">
        <f>SUM('Budget Detail FY 2013-20'!L630)</f>
        <v>160921</v>
      </c>
      <c r="D450" s="2">
        <f>SUM('Budget Detail FY 2013-20'!M630)</f>
        <v>0</v>
      </c>
      <c r="E450" s="2">
        <f>SUM('Budget Detail FY 2013-20'!N630)</f>
        <v>0</v>
      </c>
      <c r="F450" s="2">
        <f>SUM('Budget Detail FY 2013-20'!O630)</f>
        <v>0</v>
      </c>
      <c r="G450" s="2">
        <f>SUM('Budget Detail FY 2013-20'!P630)</f>
        <v>0</v>
      </c>
      <c r="H450" s="2">
        <f>SUM('Budget Detail FY 2013-20'!Q630)</f>
        <v>0</v>
      </c>
      <c r="I450" s="2">
        <f>SUM('Budget Detail FY 2013-20'!R630)</f>
        <v>0</v>
      </c>
      <c r="J450" s="2">
        <f>SUM('Budget Detail FY 2013-20'!S630)</f>
        <v>0</v>
      </c>
      <c r="K450" s="2">
        <f>SUM('Budget Detail FY 2013-20'!T630)</f>
        <v>0</v>
      </c>
    </row>
    <row r="451" spans="2:12" ht="20.100000000000001" customHeight="1">
      <c r="B451" s="509" t="s">
        <v>772</v>
      </c>
      <c r="C451" s="2">
        <f>SUM('Budget Detail FY 2013-20'!L632:L653)</f>
        <v>1396016</v>
      </c>
      <c r="D451" s="2">
        <f>SUM('Budget Detail FY 2013-20'!M632:M653)</f>
        <v>1172802</v>
      </c>
      <c r="E451" s="2">
        <f>SUM('Budget Detail FY 2013-20'!N632:N653)</f>
        <v>1168384</v>
      </c>
      <c r="F451" s="2">
        <f>SUM('Budget Detail FY 2013-20'!O632:O653)</f>
        <v>1168385</v>
      </c>
      <c r="G451" s="2">
        <f>SUM('Budget Detail FY 2013-20'!P632:P653)</f>
        <v>1230445</v>
      </c>
      <c r="H451" s="2">
        <f>SUM('Budget Detail FY 2013-20'!Q632:Q653)</f>
        <v>1448688</v>
      </c>
      <c r="I451" s="2">
        <f>SUM('Budget Detail FY 2013-20'!R632:R653)</f>
        <v>1436579</v>
      </c>
      <c r="J451" s="2">
        <f>SUM('Budget Detail FY 2013-20'!S632:S653)</f>
        <v>1638392</v>
      </c>
      <c r="K451" s="2">
        <f>SUM('Budget Detail FY 2013-20'!T632:T653)</f>
        <v>2319929</v>
      </c>
    </row>
    <row r="452" spans="2:12" ht="20.100000000000001" customHeight="1" thickBot="1">
      <c r="B452" s="153" t="s">
        <v>865</v>
      </c>
      <c r="C452" s="150">
        <f t="shared" ref="C452:K452" si="72">SUM(C445:C451)</f>
        <v>2878499</v>
      </c>
      <c r="D452" s="150">
        <f t="shared" si="72"/>
        <v>2763633</v>
      </c>
      <c r="E452" s="150">
        <f t="shared" si="72"/>
        <v>3093781</v>
      </c>
      <c r="F452" s="150">
        <f t="shared" si="72"/>
        <v>3107632</v>
      </c>
      <c r="G452" s="150">
        <f t="shared" si="72"/>
        <v>7949715</v>
      </c>
      <c r="H452" s="150">
        <f t="shared" si="72"/>
        <v>3504329</v>
      </c>
      <c r="I452" s="150">
        <f t="shared" si="72"/>
        <v>3957356</v>
      </c>
      <c r="J452" s="150">
        <f t="shared" si="72"/>
        <v>4172311</v>
      </c>
      <c r="K452" s="150">
        <f t="shared" si="72"/>
        <v>4458616</v>
      </c>
    </row>
    <row r="453" spans="2:12" s="569" customFormat="1" hidden="1">
      <c r="B453" s="155"/>
      <c r="C453" s="132">
        <f>'Budget Detail FY 2013-20'!L655</f>
        <v>2878499</v>
      </c>
      <c r="D453" s="132">
        <f>'Budget Detail FY 2013-20'!M655</f>
        <v>2763633</v>
      </c>
      <c r="E453" s="132">
        <f>'Budget Detail FY 2013-20'!N655</f>
        <v>3093781</v>
      </c>
      <c r="F453" s="132">
        <f>'Budget Detail FY 2013-20'!O655</f>
        <v>3107632</v>
      </c>
      <c r="G453" s="132">
        <f>'Budget Detail FY 2013-20'!P655</f>
        <v>7949715</v>
      </c>
      <c r="H453" s="132">
        <f>'Budget Detail FY 2013-20'!Q655</f>
        <v>3504329</v>
      </c>
      <c r="I453" s="132">
        <f>'Budget Detail FY 2013-20'!R655</f>
        <v>3957356</v>
      </c>
      <c r="J453" s="132">
        <f>'Budget Detail FY 2013-20'!S655</f>
        <v>4172311</v>
      </c>
      <c r="K453" s="132">
        <f>'Budget Detail FY 2013-20'!T655</f>
        <v>4458616</v>
      </c>
      <c r="L453" s="571" t="s">
        <v>1150</v>
      </c>
    </row>
    <row r="454" spans="2:12" s="570" customFormat="1" hidden="1">
      <c r="B454" s="157"/>
      <c r="C454" s="163">
        <f>C452-C453</f>
        <v>0</v>
      </c>
      <c r="D454" s="163">
        <f t="shared" ref="D454:K454" si="73">D452-D453</f>
        <v>0</v>
      </c>
      <c r="E454" s="163">
        <f t="shared" si="73"/>
        <v>0</v>
      </c>
      <c r="F454" s="163">
        <f t="shared" si="73"/>
        <v>0</v>
      </c>
      <c r="G454" s="163">
        <f t="shared" si="73"/>
        <v>0</v>
      </c>
      <c r="H454" s="163">
        <f t="shared" si="73"/>
        <v>0</v>
      </c>
      <c r="I454" s="163">
        <f t="shared" si="73"/>
        <v>0</v>
      </c>
      <c r="J454" s="163">
        <f t="shared" si="73"/>
        <v>0</v>
      </c>
      <c r="K454" s="163">
        <f t="shared" si="73"/>
        <v>0</v>
      </c>
      <c r="L454" s="571" t="s">
        <v>1151</v>
      </c>
    </row>
    <row r="455" spans="2:12" ht="7.5" customHeight="1">
      <c r="B455" s="160"/>
      <c r="C455" s="3"/>
      <c r="D455" s="2"/>
      <c r="E455" s="2"/>
      <c r="F455" s="2"/>
      <c r="G455" s="2"/>
      <c r="H455" s="2"/>
      <c r="I455" s="2"/>
      <c r="J455" s="2"/>
      <c r="K455" s="2"/>
    </row>
    <row r="456" spans="2:12" ht="20.100000000000001" customHeight="1">
      <c r="B456" s="510" t="s">
        <v>852</v>
      </c>
      <c r="C456" s="3">
        <f t="shared" ref="C456:K456" si="74">+C440-C452</f>
        <v>225840</v>
      </c>
      <c r="D456" s="3">
        <f t="shared" si="74"/>
        <v>-175756</v>
      </c>
      <c r="E456" s="3">
        <f t="shared" si="74"/>
        <v>-254555</v>
      </c>
      <c r="F456" s="3">
        <f t="shared" si="74"/>
        <v>-516720</v>
      </c>
      <c r="G456" s="3">
        <f t="shared" si="74"/>
        <v>-276196</v>
      </c>
      <c r="H456" s="3">
        <f t="shared" si="74"/>
        <v>281886</v>
      </c>
      <c r="I456" s="3">
        <f t="shared" si="74"/>
        <v>-171192</v>
      </c>
      <c r="J456" s="3">
        <f t="shared" si="74"/>
        <v>-381175</v>
      </c>
      <c r="K456" s="3">
        <f t="shared" si="74"/>
        <v>-537100</v>
      </c>
    </row>
    <row r="457" spans="2:12" s="569" customFormat="1" hidden="1">
      <c r="B457" s="161"/>
      <c r="C457" s="132">
        <f>'Budget Detail FY 2013-20'!L657</f>
        <v>225840</v>
      </c>
      <c r="D457" s="132">
        <f>'Budget Detail FY 2013-20'!M657</f>
        <v>-175756</v>
      </c>
      <c r="E457" s="132">
        <f>'Budget Detail FY 2013-20'!N657</f>
        <v>-254555</v>
      </c>
      <c r="F457" s="132">
        <f>'Budget Detail FY 2013-20'!O657</f>
        <v>-516720</v>
      </c>
      <c r="G457" s="132">
        <f>'Budget Detail FY 2013-20'!P657</f>
        <v>-276196</v>
      </c>
      <c r="H457" s="132">
        <f>'Budget Detail FY 2013-20'!Q657</f>
        <v>281886</v>
      </c>
      <c r="I457" s="132">
        <f>'Budget Detail FY 2013-20'!R657</f>
        <v>-171192</v>
      </c>
      <c r="J457" s="132">
        <f>'Budget Detail FY 2013-20'!S657</f>
        <v>-381175</v>
      </c>
      <c r="K457" s="132">
        <f>'Budget Detail FY 2013-20'!T657</f>
        <v>-537100</v>
      </c>
      <c r="L457" s="571" t="s">
        <v>1150</v>
      </c>
    </row>
    <row r="458" spans="2:12" s="570" customFormat="1" hidden="1">
      <c r="B458" s="162"/>
      <c r="C458" s="171">
        <f>C456-C457</f>
        <v>0</v>
      </c>
      <c r="D458" s="171">
        <f t="shared" ref="D458:K458" si="75">D456-D457</f>
        <v>0</v>
      </c>
      <c r="E458" s="171">
        <f t="shared" si="75"/>
        <v>0</v>
      </c>
      <c r="F458" s="171">
        <f t="shared" si="75"/>
        <v>0</v>
      </c>
      <c r="G458" s="171">
        <f t="shared" si="75"/>
        <v>0</v>
      </c>
      <c r="H458" s="171">
        <f t="shared" si="75"/>
        <v>0</v>
      </c>
      <c r="I458" s="171">
        <f t="shared" si="75"/>
        <v>0</v>
      </c>
      <c r="J458" s="171">
        <f t="shared" si="75"/>
        <v>0</v>
      </c>
      <c r="K458" s="171">
        <f t="shared" si="75"/>
        <v>0</v>
      </c>
      <c r="L458" s="571" t="s">
        <v>1151</v>
      </c>
    </row>
    <row r="459" spans="2:12" ht="7.5" customHeight="1">
      <c r="B459" s="164"/>
      <c r="C459" s="3"/>
      <c r="D459" s="2"/>
      <c r="E459" s="2"/>
      <c r="F459" s="2"/>
      <c r="G459" s="2"/>
      <c r="H459" s="2"/>
      <c r="I459" s="2"/>
      <c r="J459" s="2"/>
      <c r="K459" s="2"/>
    </row>
    <row r="460" spans="2:12" ht="20.100000000000001" customHeight="1" thickBot="1">
      <c r="B460" s="152" t="s">
        <v>866</v>
      </c>
      <c r="C460" s="83">
        <v>1526679</v>
      </c>
      <c r="D460" s="83">
        <v>1350923</v>
      </c>
      <c r="E460" s="83">
        <v>976762</v>
      </c>
      <c r="F460" s="83">
        <f>D460+F456</f>
        <v>834203</v>
      </c>
      <c r="G460" s="83">
        <f>F460+G456</f>
        <v>558007</v>
      </c>
      <c r="H460" s="83">
        <f>G460+H456</f>
        <v>839893</v>
      </c>
      <c r="I460" s="83">
        <f>H460+I456</f>
        <v>668701</v>
      </c>
      <c r="J460" s="83">
        <f>I460+J456</f>
        <v>287526</v>
      </c>
      <c r="K460" s="83">
        <f>J460+K456</f>
        <v>-249574</v>
      </c>
    </row>
    <row r="461" spans="2:12" s="569" customFormat="1" ht="15.75" hidden="1" thickTop="1">
      <c r="B461" s="155"/>
      <c r="C461" s="132">
        <f>'Budget Detail FY 2013-20'!L659</f>
        <v>1526679</v>
      </c>
      <c r="D461" s="132">
        <f>'Budget Detail FY 2013-20'!M659</f>
        <v>1350923</v>
      </c>
      <c r="E461" s="132">
        <f>'Budget Detail FY 2013-20'!N659</f>
        <v>976762</v>
      </c>
      <c r="F461" s="132">
        <f>'Budget Detail FY 2013-20'!O659</f>
        <v>834203</v>
      </c>
      <c r="G461" s="132">
        <f>'Budget Detail FY 2013-20'!P659</f>
        <v>558007</v>
      </c>
      <c r="H461" s="132">
        <f>'Budget Detail FY 2013-20'!Q659</f>
        <v>839893</v>
      </c>
      <c r="I461" s="132">
        <f>'Budget Detail FY 2013-20'!R659</f>
        <v>668701</v>
      </c>
      <c r="J461" s="132">
        <f>'Budget Detail FY 2013-20'!S659</f>
        <v>287526</v>
      </c>
      <c r="K461" s="132">
        <f>'Budget Detail FY 2013-20'!T659</f>
        <v>-249574</v>
      </c>
      <c r="L461" s="571" t="s">
        <v>1150</v>
      </c>
    </row>
    <row r="462" spans="2:12" s="570" customFormat="1" hidden="1">
      <c r="B462" s="157"/>
      <c r="C462" s="133">
        <f>C460-C461</f>
        <v>0</v>
      </c>
      <c r="D462" s="133">
        <f t="shared" ref="D462:K462" si="76">D460-D461</f>
        <v>0</v>
      </c>
      <c r="E462" s="133">
        <f t="shared" si="76"/>
        <v>0</v>
      </c>
      <c r="F462" s="133">
        <f t="shared" si="76"/>
        <v>0</v>
      </c>
      <c r="G462" s="133">
        <f t="shared" si="76"/>
        <v>0</v>
      </c>
      <c r="H462" s="133">
        <f t="shared" si="76"/>
        <v>0</v>
      </c>
      <c r="I462" s="133">
        <f t="shared" si="76"/>
        <v>0</v>
      </c>
      <c r="J462" s="133">
        <f t="shared" si="76"/>
        <v>0</v>
      </c>
      <c r="K462" s="133">
        <f t="shared" si="76"/>
        <v>0</v>
      </c>
      <c r="L462" s="571" t="s">
        <v>1151</v>
      </c>
    </row>
    <row r="463" spans="2:12" ht="15.75" thickTop="1">
      <c r="B463" s="165"/>
      <c r="C463" s="166">
        <f t="shared" ref="C463:J463" si="77">+C460/C452</f>
        <v>0.5303732952486695</v>
      </c>
      <c r="D463" s="166">
        <f t="shared" si="77"/>
        <v>0.4888214173155408</v>
      </c>
      <c r="E463" s="166">
        <f t="shared" si="77"/>
        <v>0.31571788694804187</v>
      </c>
      <c r="F463" s="166">
        <f t="shared" si="77"/>
        <v>0.26843686768574915</v>
      </c>
      <c r="G463" s="166">
        <f>+G460/G452</f>
        <v>7.0192076068135781E-2</v>
      </c>
      <c r="H463" s="166">
        <f t="shared" si="77"/>
        <v>0.23967298732510561</v>
      </c>
      <c r="I463" s="166">
        <f t="shared" si="77"/>
        <v>0.16897671071291034</v>
      </c>
      <c r="J463" s="166">
        <f t="shared" si="77"/>
        <v>6.8912887845608825E-2</v>
      </c>
      <c r="K463" s="166">
        <f>+K460/K452</f>
        <v>-5.597566599141976E-2</v>
      </c>
    </row>
    <row r="464" spans="2:12">
      <c r="B464" s="165"/>
      <c r="C464" s="166"/>
      <c r="D464" s="166"/>
      <c r="E464" s="166"/>
      <c r="F464" s="166"/>
      <c r="G464" s="166"/>
      <c r="H464" s="166"/>
      <c r="I464" s="166"/>
      <c r="J464" s="166"/>
      <c r="K464" s="166"/>
    </row>
    <row r="465" spans="2:11" ht="7.5" customHeight="1">
      <c r="B465" s="165"/>
      <c r="C465" s="2"/>
      <c r="D465" s="2"/>
      <c r="E465" s="2"/>
      <c r="F465" s="2"/>
      <c r="G465" s="2"/>
      <c r="H465" s="2"/>
      <c r="I465" s="2"/>
      <c r="J465" s="2"/>
      <c r="K465" s="2"/>
    </row>
    <row r="466" spans="2:11">
      <c r="B466" s="1"/>
      <c r="C466" s="2"/>
      <c r="D466" s="2"/>
      <c r="E466" s="2"/>
      <c r="F466" s="2"/>
      <c r="G466" s="2"/>
      <c r="H466" s="2"/>
      <c r="I466" s="2"/>
      <c r="J466" s="2"/>
      <c r="K466" s="2"/>
    </row>
    <row r="467" spans="2:11">
      <c r="B467" s="1"/>
      <c r="C467" s="2"/>
      <c r="D467" s="2"/>
      <c r="E467" s="2"/>
      <c r="F467" s="2"/>
      <c r="G467" s="2"/>
      <c r="H467" s="2"/>
      <c r="I467" s="2"/>
      <c r="J467" s="2"/>
      <c r="K467" s="2"/>
    </row>
    <row r="468" spans="2:11">
      <c r="B468" s="1"/>
      <c r="C468" s="2"/>
      <c r="D468" s="2"/>
      <c r="E468" s="2"/>
      <c r="F468" s="2"/>
      <c r="G468" s="2"/>
      <c r="H468" s="2"/>
      <c r="I468" s="2"/>
      <c r="J468" s="2"/>
      <c r="K468" s="2"/>
    </row>
    <row r="469" spans="2:11">
      <c r="B469" s="1"/>
      <c r="C469" s="2"/>
      <c r="D469" s="2"/>
      <c r="E469" s="2"/>
      <c r="F469" s="2"/>
      <c r="G469" s="2"/>
      <c r="H469" s="2"/>
      <c r="I469" s="2"/>
      <c r="J469" s="2"/>
      <c r="K469" s="2"/>
    </row>
    <row r="470" spans="2:11">
      <c r="B470" s="1"/>
      <c r="C470" s="2"/>
      <c r="D470" s="2"/>
      <c r="E470" s="2"/>
      <c r="F470" s="2"/>
      <c r="G470" s="2"/>
      <c r="H470" s="2"/>
      <c r="I470" s="2"/>
      <c r="J470" s="2"/>
      <c r="K470" s="2"/>
    </row>
    <row r="471" spans="2:11">
      <c r="B471" s="1"/>
      <c r="C471" s="2"/>
      <c r="D471" s="2"/>
      <c r="E471" s="2"/>
      <c r="F471" s="2"/>
      <c r="G471" s="2"/>
      <c r="H471" s="2"/>
      <c r="I471" s="2"/>
      <c r="J471" s="2"/>
      <c r="K471" s="2"/>
    </row>
    <row r="472" spans="2:11">
      <c r="B472" s="1"/>
      <c r="C472" s="2"/>
      <c r="D472" s="2"/>
      <c r="E472" s="2"/>
      <c r="F472" s="2"/>
      <c r="G472" s="2"/>
      <c r="H472" s="2"/>
      <c r="I472" s="2"/>
      <c r="J472" s="2"/>
      <c r="K472" s="2"/>
    </row>
    <row r="473" spans="2:11">
      <c r="B473" s="1"/>
      <c r="C473" s="2"/>
      <c r="D473" s="2"/>
      <c r="E473" s="2"/>
      <c r="F473" s="2"/>
      <c r="G473" s="2"/>
      <c r="H473" s="2"/>
      <c r="I473" s="2"/>
      <c r="J473" s="2"/>
      <c r="K473" s="2"/>
    </row>
    <row r="474" spans="2:11">
      <c r="B474" s="1"/>
      <c r="C474" s="2"/>
      <c r="D474" s="2"/>
      <c r="E474" s="2"/>
      <c r="F474" s="2"/>
      <c r="G474" s="2"/>
      <c r="H474" s="2"/>
      <c r="I474" s="2"/>
      <c r="J474" s="2"/>
      <c r="K474" s="2"/>
    </row>
    <row r="475" spans="2:11">
      <c r="B475" s="1"/>
      <c r="C475" s="2"/>
      <c r="D475" s="2"/>
      <c r="E475" s="2"/>
      <c r="F475" s="2"/>
      <c r="G475" s="2"/>
      <c r="H475" s="2"/>
      <c r="I475" s="2"/>
      <c r="J475" s="2"/>
      <c r="K475" s="2"/>
    </row>
    <row r="476" spans="2:11">
      <c r="B476" s="1"/>
      <c r="C476" s="2"/>
      <c r="D476" s="2"/>
      <c r="E476" s="2"/>
      <c r="F476" s="2"/>
      <c r="G476" s="2"/>
      <c r="H476" s="2"/>
      <c r="I476" s="2"/>
      <c r="J476" s="2"/>
      <c r="K476" s="2"/>
    </row>
    <row r="478" spans="2:11">
      <c r="B478" s="740" t="s">
        <v>867</v>
      </c>
      <c r="C478" s="740"/>
      <c r="D478" s="740"/>
      <c r="E478" s="740"/>
      <c r="F478" s="740"/>
      <c r="G478" s="740"/>
      <c r="H478" s="740"/>
      <c r="I478" s="740"/>
      <c r="J478" s="740"/>
      <c r="K478" s="740"/>
    </row>
    <row r="479" spans="2:11">
      <c r="B479" s="65"/>
      <c r="C479" s="3"/>
      <c r="D479" s="2"/>
      <c r="E479" s="2"/>
      <c r="F479" s="2"/>
      <c r="G479" s="2"/>
      <c r="H479" s="2"/>
      <c r="I479" s="2"/>
      <c r="J479" s="2"/>
      <c r="K479" s="2"/>
    </row>
    <row r="480" spans="2:11" ht="12.75" customHeight="1">
      <c r="B480" s="731" t="s">
        <v>868</v>
      </c>
      <c r="C480" s="731"/>
      <c r="D480" s="731"/>
      <c r="E480" s="731"/>
      <c r="F480" s="731"/>
      <c r="G480" s="731"/>
      <c r="H480" s="731"/>
      <c r="I480" s="731"/>
      <c r="J480" s="731"/>
      <c r="K480" s="731"/>
    </row>
    <row r="481" spans="2:12" ht="18" customHeight="1">
      <c r="B481" s="731"/>
      <c r="C481" s="731"/>
      <c r="D481" s="731"/>
      <c r="E481" s="731"/>
      <c r="F481" s="731"/>
      <c r="G481" s="731"/>
      <c r="H481" s="731"/>
      <c r="I481" s="731"/>
      <c r="J481" s="731"/>
      <c r="K481" s="731"/>
    </row>
    <row r="482" spans="2:12" ht="7.5" customHeight="1">
      <c r="B482" s="563"/>
      <c r="C482" s="22"/>
      <c r="D482" s="22"/>
      <c r="E482" s="22"/>
      <c r="F482" s="2"/>
      <c r="G482" s="2"/>
      <c r="H482" s="2"/>
      <c r="I482" s="2"/>
      <c r="J482" s="2"/>
      <c r="K482" s="2"/>
    </row>
    <row r="483" spans="2:12">
      <c r="B483" s="5"/>
      <c r="C483" s="65"/>
      <c r="D483" s="66"/>
      <c r="E483" s="65" t="s">
        <v>270</v>
      </c>
      <c r="F483" s="1"/>
      <c r="G483" s="1"/>
      <c r="H483" s="1"/>
      <c r="I483" s="1"/>
      <c r="J483" s="1"/>
      <c r="K483" s="1"/>
    </row>
    <row r="484" spans="2:12">
      <c r="B484" s="66"/>
      <c r="C484" s="65" t="s">
        <v>257</v>
      </c>
      <c r="D484" s="49" t="s">
        <v>258</v>
      </c>
      <c r="E484" s="66" t="s">
        <v>832</v>
      </c>
      <c r="F484" s="66" t="s">
        <v>270</v>
      </c>
      <c r="G484" s="66" t="s">
        <v>271</v>
      </c>
      <c r="H484" s="66" t="s">
        <v>272</v>
      </c>
      <c r="I484" s="66" t="s">
        <v>996</v>
      </c>
      <c r="J484" s="66" t="s">
        <v>1101</v>
      </c>
      <c r="K484" s="66" t="s">
        <v>1136</v>
      </c>
    </row>
    <row r="485" spans="2:12" ht="15.75" thickBot="1">
      <c r="B485" s="169"/>
      <c r="C485" s="68" t="s">
        <v>1</v>
      </c>
      <c r="D485" s="68" t="s">
        <v>1</v>
      </c>
      <c r="E485" s="68" t="s">
        <v>787</v>
      </c>
      <c r="F485" s="68" t="s">
        <v>19</v>
      </c>
      <c r="G485" s="68" t="s">
        <v>832</v>
      </c>
      <c r="H485" s="68" t="s">
        <v>19</v>
      </c>
      <c r="I485" s="68" t="s">
        <v>19</v>
      </c>
      <c r="J485" s="68" t="s">
        <v>19</v>
      </c>
      <c r="K485" s="68" t="s">
        <v>19</v>
      </c>
    </row>
    <row r="486" spans="2:12" ht="7.5" customHeight="1">
      <c r="B486" s="64"/>
      <c r="C486" s="170"/>
      <c r="D486" s="2"/>
      <c r="E486" s="2"/>
      <c r="F486" s="2"/>
      <c r="G486" s="2"/>
      <c r="H486" s="2"/>
      <c r="I486" s="2"/>
      <c r="J486" s="2"/>
      <c r="K486" s="2"/>
    </row>
    <row r="487" spans="2:12">
      <c r="B487" s="158" t="s">
        <v>833</v>
      </c>
      <c r="C487" s="2"/>
      <c r="D487" s="2"/>
      <c r="E487" s="2"/>
      <c r="F487" s="2"/>
      <c r="G487" s="2"/>
      <c r="H487" s="2"/>
      <c r="I487" s="2"/>
      <c r="J487" s="2"/>
      <c r="K487" s="2"/>
    </row>
    <row r="488" spans="2:12" ht="20.100000000000001" customHeight="1">
      <c r="B488" s="507" t="s">
        <v>834</v>
      </c>
      <c r="C488" s="2">
        <f>SUM('Budget Detail FY 2013-20'!L665:L665)</f>
        <v>262543</v>
      </c>
      <c r="D488" s="2">
        <f>SUM('Budget Detail FY 2013-20'!M665:M665)</f>
        <v>110601</v>
      </c>
      <c r="E488" s="2">
        <f>SUM('Budget Detail FY 2013-20'!N665:N665)</f>
        <v>0</v>
      </c>
      <c r="F488" s="2">
        <f>SUM('Budget Detail FY 2013-20'!O665:O665)</f>
        <v>0</v>
      </c>
      <c r="G488" s="2">
        <f>SUM('Budget Detail FY 2013-20'!P665:P665)</f>
        <v>0</v>
      </c>
      <c r="H488" s="2">
        <f>SUM('Budget Detail FY 2013-20'!Q665:Q665)</f>
        <v>0</v>
      </c>
      <c r="I488" s="2">
        <f>SUM('Budget Detail FY 2013-20'!R665:R665)</f>
        <v>0</v>
      </c>
      <c r="J488" s="2">
        <f>SUM('Budget Detail FY 2013-20'!S665:S665)</f>
        <v>0</v>
      </c>
      <c r="K488" s="2">
        <f>SUM('Budget Detail FY 2013-20'!T665:T665)</f>
        <v>0</v>
      </c>
    </row>
    <row r="489" spans="2:12" ht="20.100000000000001" customHeight="1">
      <c r="B489" s="506" t="s">
        <v>836</v>
      </c>
      <c r="C489" s="2">
        <f>'Budget Detail FY 2013-20'!L666</f>
        <v>24000</v>
      </c>
      <c r="D489" s="2">
        <f>'Budget Detail FY 2013-20'!M666</f>
        <v>16800</v>
      </c>
      <c r="E489" s="2">
        <f>'Budget Detail FY 2013-20'!N666</f>
        <v>0</v>
      </c>
      <c r="F489" s="2">
        <f>'Budget Detail FY 2013-20'!O666</f>
        <v>0</v>
      </c>
      <c r="G489" s="2">
        <f>'Budget Detail FY 2013-20'!P666</f>
        <v>0</v>
      </c>
      <c r="H489" s="2">
        <f>'Budget Detail FY 2013-20'!Q666</f>
        <v>0</v>
      </c>
      <c r="I489" s="2">
        <f>'Budget Detail FY 2013-20'!R666</f>
        <v>0</v>
      </c>
      <c r="J489" s="2">
        <f>'Budget Detail FY 2013-20'!S666</f>
        <v>0</v>
      </c>
      <c r="K489" s="2">
        <f>'Budget Detail FY 2013-20'!T666</f>
        <v>0</v>
      </c>
    </row>
    <row r="490" spans="2:12" ht="20.100000000000001" customHeight="1">
      <c r="B490" s="507" t="s">
        <v>838</v>
      </c>
      <c r="C490" s="2">
        <f>SUM('Budget Detail FY 2013-20'!L667:L673)</f>
        <v>1348205</v>
      </c>
      <c r="D490" s="2">
        <f>SUM('Budget Detail FY 2013-20'!M667:M673)</f>
        <v>1114432</v>
      </c>
      <c r="E490" s="2">
        <f>SUM('Budget Detail FY 2013-20'!N667:N673)</f>
        <v>1140500</v>
      </c>
      <c r="F490" s="2">
        <f>SUM('Budget Detail FY 2013-20'!O667:O673)</f>
        <v>1143004</v>
      </c>
      <c r="G490" s="2">
        <f>SUM('Budget Detail FY 2013-20'!P667:P673)</f>
        <v>1180200</v>
      </c>
      <c r="H490" s="2">
        <f>SUM('Budget Detail FY 2013-20'!Q667:Q673)</f>
        <v>1204140</v>
      </c>
      <c r="I490" s="2">
        <f>SUM('Budget Detail FY 2013-20'!R667:R673)</f>
        <v>1228920</v>
      </c>
      <c r="J490" s="2">
        <f>SUM('Budget Detail FY 2013-20'!S667:S673)</f>
        <v>1254540</v>
      </c>
      <c r="K490" s="2">
        <f>SUM('Budget Detail FY 2013-20'!T667:T673)</f>
        <v>1280836</v>
      </c>
    </row>
    <row r="491" spans="2:12" ht="20.100000000000001" customHeight="1">
      <c r="B491" s="507" t="s">
        <v>839</v>
      </c>
      <c r="C491" s="2">
        <f>'Budget Detail FY 2013-20'!L674</f>
        <v>7339</v>
      </c>
      <c r="D491" s="2">
        <f>'Budget Detail FY 2013-20'!M674</f>
        <v>9260</v>
      </c>
      <c r="E491" s="2">
        <f>'Budget Detail FY 2013-20'!N674</f>
        <v>6000</v>
      </c>
      <c r="F491" s="2">
        <f>'Budget Detail FY 2013-20'!O674</f>
        <v>5500</v>
      </c>
      <c r="G491" s="2">
        <f>'Budget Detail FY 2013-20'!P674</f>
        <v>1500</v>
      </c>
      <c r="H491" s="2">
        <f>'Budget Detail FY 2013-20'!Q674</f>
        <v>1500</v>
      </c>
      <c r="I491" s="2">
        <f>'Budget Detail FY 2013-20'!R674</f>
        <v>1500</v>
      </c>
      <c r="J491" s="2">
        <f>'Budget Detail FY 2013-20'!S674</f>
        <v>1500</v>
      </c>
      <c r="K491" s="2">
        <f>'Budget Detail FY 2013-20'!T674</f>
        <v>1500</v>
      </c>
    </row>
    <row r="492" spans="2:12" ht="20.100000000000001" customHeight="1">
      <c r="B492" s="507" t="s">
        <v>840</v>
      </c>
      <c r="C492" s="2">
        <f>SUM('Budget Detail FY 2013-20'!L675:L677)</f>
        <v>7908</v>
      </c>
      <c r="D492" s="2">
        <f>SUM('Budget Detail FY 2013-20'!M675:M677)</f>
        <v>1300</v>
      </c>
      <c r="E492" s="2">
        <f>SUM('Budget Detail FY 2013-20'!N675:N677)</f>
        <v>0</v>
      </c>
      <c r="F492" s="2">
        <f>SUM('Budget Detail FY 2013-20'!O675:O677)</f>
        <v>1100</v>
      </c>
      <c r="G492" s="2">
        <f>SUM('Budget Detail FY 2013-20'!P675:P677)</f>
        <v>200000</v>
      </c>
      <c r="H492" s="2">
        <f>SUM('Budget Detail FY 2013-20'!Q675:Q677)</f>
        <v>200000</v>
      </c>
      <c r="I492" s="2">
        <f>SUM('Budget Detail FY 2013-20'!R675:R677)</f>
        <v>200000</v>
      </c>
      <c r="J492" s="2">
        <f>SUM('Budget Detail FY 2013-20'!S675:S677)</f>
        <v>200000</v>
      </c>
      <c r="K492" s="2">
        <f>SUM('Budget Detail FY 2013-20'!T675:T677)</f>
        <v>200000</v>
      </c>
    </row>
    <row r="493" spans="2:12" ht="20.100000000000001" customHeight="1">
      <c r="B493" s="507" t="s">
        <v>842</v>
      </c>
      <c r="C493" s="2">
        <f>'Budget Detail FY 2013-20'!L678+'Budget Detail FY 2013-20'!L679</f>
        <v>0</v>
      </c>
      <c r="D493" s="2">
        <f>'Budget Detail FY 2013-20'!M678+'Budget Detail FY 2013-20'!M679</f>
        <v>1137220</v>
      </c>
      <c r="E493" s="2">
        <f>'Budget Detail FY 2013-20'!N678+'Budget Detail FY 2013-20'!N679</f>
        <v>1238972</v>
      </c>
      <c r="F493" s="2">
        <f>'Budget Detail FY 2013-20'!O678+'Budget Detail FY 2013-20'!O679</f>
        <v>1243972</v>
      </c>
      <c r="G493" s="2">
        <f>'Budget Detail FY 2013-20'!P678+'Budget Detail FY 2013-20'!P679</f>
        <v>1134654</v>
      </c>
      <c r="H493" s="2">
        <f>'Budget Detail FY 2013-20'!Q678+'Budget Detail FY 2013-20'!Q679</f>
        <v>1134052</v>
      </c>
      <c r="I493" s="2">
        <f>'Budget Detail FY 2013-20'!R678+'Budget Detail FY 2013-20'!R679</f>
        <v>1137166</v>
      </c>
      <c r="J493" s="2">
        <f>'Budget Detail FY 2013-20'!S678+'Budget Detail FY 2013-20'!S679</f>
        <v>1133782</v>
      </c>
      <c r="K493" s="2">
        <f>'Budget Detail FY 2013-20'!T678+'Budget Detail FY 2013-20'!T679</f>
        <v>1134114</v>
      </c>
    </row>
    <row r="494" spans="2:12" ht="20.100000000000001" customHeight="1" thickBot="1">
      <c r="B494" s="153" t="s">
        <v>843</v>
      </c>
      <c r="C494" s="150">
        <f t="shared" ref="C494:J494" si="78">SUM(C488:C493)</f>
        <v>1649995</v>
      </c>
      <c r="D494" s="150">
        <f>SUM(D488:D493)</f>
        <v>2389613</v>
      </c>
      <c r="E494" s="150">
        <f t="shared" si="78"/>
        <v>2385472</v>
      </c>
      <c r="F494" s="150">
        <f t="shared" si="78"/>
        <v>2393576</v>
      </c>
      <c r="G494" s="150">
        <f t="shared" si="78"/>
        <v>2516354</v>
      </c>
      <c r="H494" s="150">
        <f t="shared" si="78"/>
        <v>2539692</v>
      </c>
      <c r="I494" s="150">
        <f t="shared" si="78"/>
        <v>2567586</v>
      </c>
      <c r="J494" s="150">
        <f t="shared" si="78"/>
        <v>2589822</v>
      </c>
      <c r="K494" s="150">
        <f>SUM(K488:K493)</f>
        <v>2616450</v>
      </c>
    </row>
    <row r="495" spans="2:12" s="569" customFormat="1" hidden="1">
      <c r="B495" s="155"/>
      <c r="C495" s="132">
        <f>'Budget Detail FY 2013-20'!L681</f>
        <v>1649995</v>
      </c>
      <c r="D495" s="132">
        <f>'Budget Detail FY 2013-20'!M681</f>
        <v>2389613</v>
      </c>
      <c r="E495" s="132">
        <f>'Budget Detail FY 2013-20'!N681</f>
        <v>2385472</v>
      </c>
      <c r="F495" s="132">
        <f>'Budget Detail FY 2013-20'!O681</f>
        <v>2393576</v>
      </c>
      <c r="G495" s="132">
        <f>'Budget Detail FY 2013-20'!P681</f>
        <v>2516354</v>
      </c>
      <c r="H495" s="132">
        <f>'Budget Detail FY 2013-20'!Q681</f>
        <v>2539692</v>
      </c>
      <c r="I495" s="132">
        <f>'Budget Detail FY 2013-20'!R681</f>
        <v>2567586</v>
      </c>
      <c r="J495" s="132">
        <f>'Budget Detail FY 2013-20'!S681</f>
        <v>2589822</v>
      </c>
      <c r="K495" s="132">
        <f>'Budget Detail FY 2013-20'!T681</f>
        <v>2616450</v>
      </c>
      <c r="L495" s="571" t="s">
        <v>1150</v>
      </c>
    </row>
    <row r="496" spans="2:12" s="570" customFormat="1" hidden="1">
      <c r="B496" s="157"/>
      <c r="C496" s="133">
        <f>C494-C495</f>
        <v>0</v>
      </c>
      <c r="D496" s="133">
        <f t="shared" ref="D496:K496" si="79">D494-D495</f>
        <v>0</v>
      </c>
      <c r="E496" s="133">
        <f t="shared" si="79"/>
        <v>0</v>
      </c>
      <c r="F496" s="133">
        <f t="shared" si="79"/>
        <v>0</v>
      </c>
      <c r="G496" s="133">
        <f t="shared" si="79"/>
        <v>0</v>
      </c>
      <c r="H496" s="133">
        <f t="shared" si="79"/>
        <v>0</v>
      </c>
      <c r="I496" s="133">
        <f t="shared" si="79"/>
        <v>0</v>
      </c>
      <c r="J496" s="133">
        <f t="shared" si="79"/>
        <v>0</v>
      </c>
      <c r="K496" s="133">
        <f t="shared" si="79"/>
        <v>0</v>
      </c>
      <c r="L496" s="571" t="s">
        <v>1151</v>
      </c>
    </row>
    <row r="497" spans="2:12" ht="7.5" customHeight="1">
      <c r="B497" s="1"/>
      <c r="C497" s="2"/>
      <c r="D497" s="2"/>
      <c r="E497" s="2"/>
      <c r="F497" s="2"/>
      <c r="G497" s="2"/>
      <c r="H497" s="2"/>
      <c r="I497" s="2"/>
      <c r="J497" s="2"/>
      <c r="K497" s="2"/>
    </row>
    <row r="498" spans="2:12">
      <c r="B498" s="158" t="s">
        <v>600</v>
      </c>
      <c r="C498" s="2"/>
      <c r="D498" s="2"/>
      <c r="E498" s="2"/>
      <c r="F498" s="2"/>
      <c r="G498" s="2"/>
      <c r="H498" s="2"/>
      <c r="I498" s="2"/>
      <c r="J498" s="2"/>
      <c r="K498" s="2"/>
    </row>
    <row r="499" spans="2:12" ht="20.100000000000001" customHeight="1">
      <c r="B499" s="508" t="s">
        <v>844</v>
      </c>
      <c r="C499" s="2">
        <f>SUM('Budget Detail FY 2013-20'!L684:L685)</f>
        <v>190452</v>
      </c>
      <c r="D499" s="2">
        <f>SUM('Budget Detail FY 2013-20'!M684:M685)</f>
        <v>164273</v>
      </c>
      <c r="E499" s="2">
        <f>SUM('Budget Detail FY 2013-20'!N684:N685)</f>
        <v>195304</v>
      </c>
      <c r="F499" s="2">
        <f>SUM('Budget Detail FY 2013-20'!O684:O685)</f>
        <v>195304</v>
      </c>
      <c r="G499" s="2">
        <f>SUM('Budget Detail FY 2013-20'!P684:P685)</f>
        <v>205003</v>
      </c>
      <c r="H499" s="2">
        <f>SUM('Budget Detail FY 2013-20'!Q684:Q685)</f>
        <v>212108</v>
      </c>
      <c r="I499" s="2">
        <f>SUM('Budget Detail FY 2013-20'!R684:R685)</f>
        <v>219462</v>
      </c>
      <c r="J499" s="2">
        <f>SUM('Budget Detail FY 2013-20'!S684:S685)</f>
        <v>227073</v>
      </c>
      <c r="K499" s="2">
        <f>SUM('Budget Detail FY 2013-20'!T684:T685)</f>
        <v>234951</v>
      </c>
    </row>
    <row r="500" spans="2:12" ht="20.100000000000001" customHeight="1">
      <c r="B500" s="508" t="s">
        <v>845</v>
      </c>
      <c r="C500" s="2">
        <f>SUM('Budget Detail FY 2013-20'!L686:L693)</f>
        <v>95946</v>
      </c>
      <c r="D500" s="2">
        <f>SUM('Budget Detail FY 2013-20'!M686:M693)</f>
        <v>80030</v>
      </c>
      <c r="E500" s="2">
        <f>SUM('Budget Detail FY 2013-20'!N686:N693)</f>
        <v>105056</v>
      </c>
      <c r="F500" s="2">
        <f>SUM('Budget Detail FY 2013-20'!O686:O693)</f>
        <v>97492</v>
      </c>
      <c r="G500" s="2">
        <f>SUM('Budget Detail FY 2013-20'!P686:P693)</f>
        <v>127049</v>
      </c>
      <c r="H500" s="2">
        <f>SUM('Budget Detail FY 2013-20'!Q686:Q693)</f>
        <v>137155</v>
      </c>
      <c r="I500" s="2">
        <f>SUM('Budget Detail FY 2013-20'!R686:R693)</f>
        <v>147325</v>
      </c>
      <c r="J500" s="2">
        <f>SUM('Budget Detail FY 2013-20'!S686:S693)</f>
        <v>158316</v>
      </c>
      <c r="K500" s="2">
        <f>SUM('Budget Detail FY 2013-20'!T686:T693)</f>
        <v>170190</v>
      </c>
    </row>
    <row r="501" spans="2:12" ht="20.100000000000001" customHeight="1">
      <c r="B501" s="508" t="s">
        <v>846</v>
      </c>
      <c r="C501" s="2">
        <f>SUM('Budget Detail FY 2013-20'!L694:L707)</f>
        <v>89177</v>
      </c>
      <c r="D501" s="2">
        <f>SUM('Budget Detail FY 2013-20'!M694:M707)</f>
        <v>75530</v>
      </c>
      <c r="E501" s="2">
        <f>SUM('Budget Detail FY 2013-20'!N694:N707)</f>
        <v>95578</v>
      </c>
      <c r="F501" s="2">
        <f>SUM('Budget Detail FY 2013-20'!O694:O707)</f>
        <v>169634</v>
      </c>
      <c r="G501" s="2">
        <f>SUM('Budget Detail FY 2013-20'!P694:P707)</f>
        <v>82845</v>
      </c>
      <c r="H501" s="2">
        <f>SUM('Budget Detail FY 2013-20'!Q694:Q707)</f>
        <v>83913</v>
      </c>
      <c r="I501" s="2">
        <f>SUM('Budget Detail FY 2013-20'!R694:R707)</f>
        <v>86943</v>
      </c>
      <c r="J501" s="2">
        <f>SUM('Budget Detail FY 2013-20'!S694:S707)</f>
        <v>90143</v>
      </c>
      <c r="K501" s="2">
        <f>SUM('Budget Detail FY 2013-20'!T694:T707)</f>
        <v>92934</v>
      </c>
    </row>
    <row r="502" spans="2:12" ht="20.100000000000001" customHeight="1">
      <c r="B502" s="508" t="s">
        <v>847</v>
      </c>
      <c r="C502" s="2">
        <f>SUM('Budget Detail FY 2013-20'!L708:L716)</f>
        <v>44378</v>
      </c>
      <c r="D502" s="2">
        <f>SUM('Budget Detail FY 2013-20'!M708:M716)</f>
        <v>66064</v>
      </c>
      <c r="E502" s="2">
        <f>SUM('Budget Detail FY 2013-20'!N708:N716)</f>
        <v>90144</v>
      </c>
      <c r="F502" s="2">
        <f>SUM('Budget Detail FY 2013-20'!O708:O716)</f>
        <v>90144</v>
      </c>
      <c r="G502" s="2">
        <f>SUM('Budget Detail FY 2013-20'!P708:P716)</f>
        <v>92610</v>
      </c>
      <c r="H502" s="2">
        <f>SUM('Budget Detail FY 2013-20'!Q708:Q716)</f>
        <v>95246</v>
      </c>
      <c r="I502" s="2">
        <f>SUM('Budget Detail FY 2013-20'!R708:R716)</f>
        <v>98064</v>
      </c>
      <c r="J502" s="2">
        <f>SUM('Budget Detail FY 2013-20'!S708:S716)</f>
        <v>101077</v>
      </c>
      <c r="K502" s="2">
        <f>SUM('Budget Detail FY 2013-20'!T708:T716)</f>
        <v>104298</v>
      </c>
    </row>
    <row r="503" spans="2:12" ht="20.100000000000001" customHeight="1">
      <c r="B503" s="508" t="s">
        <v>848</v>
      </c>
      <c r="C503" s="2">
        <f>SUM('Budget Detail FY 2013-20'!L717:L720)</f>
        <v>38951</v>
      </c>
      <c r="D503" s="2">
        <f>SUM('Budget Detail FY 2013-20'!M717:M720)</f>
        <v>66773</v>
      </c>
      <c r="E503" s="2">
        <f>SUM('Budget Detail FY 2013-20'!N717:N720)</f>
        <v>593095</v>
      </c>
      <c r="F503" s="2">
        <f>SUM('Budget Detail FY 2013-20'!O717:O720)</f>
        <v>725575</v>
      </c>
      <c r="G503" s="2">
        <f>SUM('Budget Detail FY 2013-20'!P717:P720)</f>
        <v>459015</v>
      </c>
      <c r="H503" s="2">
        <f>SUM('Budget Detail FY 2013-20'!Q717:Q720)</f>
        <v>459015</v>
      </c>
      <c r="I503" s="2">
        <f>SUM('Budget Detail FY 2013-20'!R717:R720)</f>
        <v>459015</v>
      </c>
      <c r="J503" s="2">
        <f>SUM('Budget Detail FY 2013-20'!S717:S720)</f>
        <v>459015</v>
      </c>
      <c r="K503" s="2">
        <f>SUM('Budget Detail FY 2013-20'!T717:T720)</f>
        <v>459015</v>
      </c>
    </row>
    <row r="504" spans="2:12" ht="20.100000000000001" customHeight="1">
      <c r="B504" s="509" t="s">
        <v>864</v>
      </c>
      <c r="C504" s="2">
        <f>SUM('Budget Detail FY 2013-20'!L721:L721)</f>
        <v>30996</v>
      </c>
      <c r="D504" s="2">
        <f>SUM('Budget Detail FY 2013-20'!M721:M721)</f>
        <v>0</v>
      </c>
      <c r="E504" s="2">
        <f>SUM('Budget Detail FY 2013-20'!N721:N721)</f>
        <v>0</v>
      </c>
      <c r="F504" s="2">
        <f>SUM('Budget Detail FY 2013-20'!O721:O721)</f>
        <v>62922</v>
      </c>
      <c r="G504" s="2">
        <f>SUM('Budget Detail FY 2013-20'!P721:P721)</f>
        <v>32891</v>
      </c>
      <c r="H504" s="2">
        <f>SUM('Budget Detail FY 2013-20'!Q721:Q721)</f>
        <v>33872</v>
      </c>
      <c r="I504" s="2">
        <f>SUM('Budget Detail FY 2013-20'!R721:R721)</f>
        <v>34888</v>
      </c>
      <c r="J504" s="2">
        <f>SUM('Budget Detail FY 2013-20'!S721:S721)</f>
        <v>35939</v>
      </c>
      <c r="K504" s="2">
        <f>SUM('Budget Detail FY 2013-20'!T721:T721)</f>
        <v>28204</v>
      </c>
    </row>
    <row r="505" spans="2:12" ht="20.100000000000001" customHeight="1">
      <c r="B505" s="509" t="s">
        <v>772</v>
      </c>
      <c r="C505" s="2">
        <f>SUM('Budget Detail FY 2013-20'!L722:L739)</f>
        <v>1088012</v>
      </c>
      <c r="D505" s="2">
        <f>SUM('Budget Detail FY 2013-20'!M722:M739)</f>
        <v>1968119</v>
      </c>
      <c r="E505" s="2">
        <f>SUM('Budget Detail FY 2013-20'!N722:N739)</f>
        <v>2054461</v>
      </c>
      <c r="F505" s="2">
        <f>SUM('Budget Detail FY 2013-20'!O722:O739)</f>
        <v>2054461</v>
      </c>
      <c r="G505" s="2">
        <f>SUM('Budget Detail FY 2013-20'!P722:P739)</f>
        <v>1865399</v>
      </c>
      <c r="H505" s="2">
        <f>SUM('Budget Detail FY 2013-20'!Q722:Q739)</f>
        <v>1865857</v>
      </c>
      <c r="I505" s="2">
        <f>SUM('Budget Detail FY 2013-20'!R722:R739)</f>
        <v>1877110</v>
      </c>
      <c r="J505" s="2">
        <f>SUM('Budget Detail FY 2013-20'!S722:S739)</f>
        <v>1880265</v>
      </c>
      <c r="K505" s="2">
        <f>SUM('Budget Detail FY 2013-20'!T722:T739)</f>
        <v>1352307</v>
      </c>
    </row>
    <row r="506" spans="2:12" ht="20.100000000000001" customHeight="1">
      <c r="B506" s="509" t="s">
        <v>850</v>
      </c>
      <c r="C506" s="2">
        <f>SUM('Budget Detail FY 2013-20'!L740:L740)</f>
        <v>82288</v>
      </c>
      <c r="D506" s="2">
        <f>SUM('Budget Detail FY 2013-20'!M740:M740)</f>
        <v>82988</v>
      </c>
      <c r="E506" s="2">
        <f>SUM('Budget Detail FY 2013-20'!N740:N740)</f>
        <v>83588</v>
      </c>
      <c r="F506" s="2">
        <f>SUM('Budget Detail FY 2013-20'!O740:O740)</f>
        <v>83588</v>
      </c>
      <c r="G506" s="2">
        <f>SUM('Budget Detail FY 2013-20'!P740:P740)</f>
        <v>76275</v>
      </c>
      <c r="H506" s="2">
        <f>SUM('Budget Detail FY 2013-20'!Q740:Q740)</f>
        <v>75075</v>
      </c>
      <c r="I506" s="2">
        <f>SUM('Budget Detail FY 2013-20'!R740:R740)</f>
        <v>73875</v>
      </c>
      <c r="J506" s="2">
        <f>SUM('Budget Detail FY 2013-20'!S740:S740)</f>
        <v>77675</v>
      </c>
      <c r="K506" s="2">
        <f>SUM('Budget Detail FY 2013-20'!T740:T740)</f>
        <v>73875</v>
      </c>
    </row>
    <row r="507" spans="2:12" ht="20.100000000000001" customHeight="1" thickBot="1">
      <c r="B507" s="153" t="s">
        <v>865</v>
      </c>
      <c r="C507" s="150">
        <f t="shared" ref="C507:J507" si="80">SUM(C499:C506)</f>
        <v>1660200</v>
      </c>
      <c r="D507" s="150">
        <f>SUM(D499:D506)</f>
        <v>2503777</v>
      </c>
      <c r="E507" s="150">
        <f t="shared" si="80"/>
        <v>3217226</v>
      </c>
      <c r="F507" s="150">
        <f>SUM(F499:F506)</f>
        <v>3479120</v>
      </c>
      <c r="G507" s="150">
        <f t="shared" si="80"/>
        <v>2941087</v>
      </c>
      <c r="H507" s="150">
        <f t="shared" si="80"/>
        <v>2962241</v>
      </c>
      <c r="I507" s="150">
        <f t="shared" si="80"/>
        <v>2996682</v>
      </c>
      <c r="J507" s="150">
        <f t="shared" si="80"/>
        <v>3029503</v>
      </c>
      <c r="K507" s="150">
        <f>SUM(K499:K506)</f>
        <v>2515774</v>
      </c>
    </row>
    <row r="508" spans="2:12" s="569" customFormat="1" hidden="1">
      <c r="B508" s="155"/>
      <c r="C508" s="132">
        <f>'Budget Detail FY 2013-20'!L742</f>
        <v>1660200</v>
      </c>
      <c r="D508" s="132">
        <f>'Budget Detail FY 2013-20'!M742</f>
        <v>2503777</v>
      </c>
      <c r="E508" s="132">
        <f>'Budget Detail FY 2013-20'!N742</f>
        <v>3217226</v>
      </c>
      <c r="F508" s="132">
        <f>'Budget Detail FY 2013-20'!O742</f>
        <v>3479120</v>
      </c>
      <c r="G508" s="132">
        <f>'Budget Detail FY 2013-20'!P742</f>
        <v>2941087</v>
      </c>
      <c r="H508" s="132">
        <f>'Budget Detail FY 2013-20'!Q742</f>
        <v>2962241</v>
      </c>
      <c r="I508" s="132">
        <f>'Budget Detail FY 2013-20'!R742</f>
        <v>2996682</v>
      </c>
      <c r="J508" s="132">
        <f>'Budget Detail FY 2013-20'!S742</f>
        <v>3029503</v>
      </c>
      <c r="K508" s="132">
        <f>'Budget Detail FY 2013-20'!T742</f>
        <v>2515774</v>
      </c>
      <c r="L508" s="571" t="s">
        <v>1150</v>
      </c>
    </row>
    <row r="509" spans="2:12" s="570" customFormat="1" hidden="1">
      <c r="B509" s="157"/>
      <c r="C509" s="163">
        <f>C507-C508</f>
        <v>0</v>
      </c>
      <c r="D509" s="163">
        <f t="shared" ref="D509:K509" si="81">D507-D508</f>
        <v>0</v>
      </c>
      <c r="E509" s="163">
        <f t="shared" si="81"/>
        <v>0</v>
      </c>
      <c r="F509" s="163">
        <f t="shared" si="81"/>
        <v>0</v>
      </c>
      <c r="G509" s="163">
        <f t="shared" si="81"/>
        <v>0</v>
      </c>
      <c r="H509" s="163">
        <f t="shared" si="81"/>
        <v>0</v>
      </c>
      <c r="I509" s="163">
        <f t="shared" si="81"/>
        <v>0</v>
      </c>
      <c r="J509" s="163">
        <f t="shared" si="81"/>
        <v>0</v>
      </c>
      <c r="K509" s="163">
        <f t="shared" si="81"/>
        <v>0</v>
      </c>
      <c r="L509" s="571" t="s">
        <v>1151</v>
      </c>
    </row>
    <row r="510" spans="2:12" ht="7.5" customHeight="1">
      <c r="B510" s="160"/>
      <c r="C510" s="3"/>
      <c r="D510" s="2"/>
      <c r="E510" s="2"/>
      <c r="F510" s="2"/>
      <c r="G510" s="2"/>
      <c r="H510" s="2"/>
      <c r="I510" s="2"/>
      <c r="J510" s="2"/>
      <c r="K510" s="2"/>
    </row>
    <row r="511" spans="2:12" ht="20.100000000000001" customHeight="1">
      <c r="B511" s="510" t="s">
        <v>852</v>
      </c>
      <c r="C511" s="3">
        <f t="shared" ref="C511:K511" si="82">+C494-C507</f>
        <v>-10205</v>
      </c>
      <c r="D511" s="3">
        <f t="shared" si="82"/>
        <v>-114164</v>
      </c>
      <c r="E511" s="3">
        <f t="shared" si="82"/>
        <v>-831754</v>
      </c>
      <c r="F511" s="3">
        <f t="shared" si="82"/>
        <v>-1085544</v>
      </c>
      <c r="G511" s="3">
        <f t="shared" si="82"/>
        <v>-424733</v>
      </c>
      <c r="H511" s="3">
        <f t="shared" si="82"/>
        <v>-422549</v>
      </c>
      <c r="I511" s="3">
        <f t="shared" si="82"/>
        <v>-429096</v>
      </c>
      <c r="J511" s="3">
        <f t="shared" si="82"/>
        <v>-439681</v>
      </c>
      <c r="K511" s="3">
        <f t="shared" si="82"/>
        <v>100676</v>
      </c>
    </row>
    <row r="512" spans="2:12" s="569" customFormat="1" hidden="1">
      <c r="B512" s="161"/>
      <c r="C512" s="132">
        <f>'Budget Detail FY 2013-20'!L744</f>
        <v>-10205</v>
      </c>
      <c r="D512" s="132">
        <f>'Budget Detail FY 2013-20'!M744</f>
        <v>-114164</v>
      </c>
      <c r="E512" s="132">
        <f>'Budget Detail FY 2013-20'!N744</f>
        <v>-831754</v>
      </c>
      <c r="F512" s="132">
        <f>'Budget Detail FY 2013-20'!O744</f>
        <v>-1085544</v>
      </c>
      <c r="G512" s="132">
        <f>'Budget Detail FY 2013-20'!P744</f>
        <v>-424733</v>
      </c>
      <c r="H512" s="132">
        <f>'Budget Detail FY 2013-20'!Q744</f>
        <v>-422549</v>
      </c>
      <c r="I512" s="132">
        <f>'Budget Detail FY 2013-20'!R744</f>
        <v>-429096</v>
      </c>
      <c r="J512" s="132">
        <f>'Budget Detail FY 2013-20'!S744</f>
        <v>-439681</v>
      </c>
      <c r="K512" s="132">
        <f>'Budget Detail FY 2013-20'!T744</f>
        <v>100676</v>
      </c>
      <c r="L512" s="571" t="s">
        <v>1150</v>
      </c>
    </row>
    <row r="513" spans="2:12" s="570" customFormat="1" hidden="1">
      <c r="B513" s="162"/>
      <c r="C513" s="171">
        <f>C511-C512</f>
        <v>0</v>
      </c>
      <c r="D513" s="171">
        <f t="shared" ref="D513:K513" si="83">D511-D512</f>
        <v>0</v>
      </c>
      <c r="E513" s="171">
        <f t="shared" si="83"/>
        <v>0</v>
      </c>
      <c r="F513" s="171">
        <f t="shared" si="83"/>
        <v>0</v>
      </c>
      <c r="G513" s="171">
        <f t="shared" si="83"/>
        <v>0</v>
      </c>
      <c r="H513" s="171">
        <f t="shared" si="83"/>
        <v>0</v>
      </c>
      <c r="I513" s="171">
        <f t="shared" si="83"/>
        <v>0</v>
      </c>
      <c r="J513" s="171">
        <f t="shared" si="83"/>
        <v>0</v>
      </c>
      <c r="K513" s="171">
        <f t="shared" si="83"/>
        <v>0</v>
      </c>
      <c r="L513" s="571" t="s">
        <v>1151</v>
      </c>
    </row>
    <row r="514" spans="2:12" ht="7.5" customHeight="1">
      <c r="B514" s="164"/>
      <c r="C514" s="3"/>
      <c r="D514" s="2"/>
      <c r="E514" s="2"/>
      <c r="F514" s="2"/>
      <c r="G514" s="2"/>
      <c r="H514" s="2"/>
      <c r="I514" s="2"/>
      <c r="J514" s="2"/>
      <c r="K514" s="2"/>
    </row>
    <row r="515" spans="2:12" ht="20.100000000000001" customHeight="1" thickBot="1">
      <c r="B515" s="152" t="s">
        <v>866</v>
      </c>
      <c r="C515" s="83">
        <v>2993332</v>
      </c>
      <c r="D515" s="83">
        <v>2879170</v>
      </c>
      <c r="E515" s="83">
        <v>1959540</v>
      </c>
      <c r="F515" s="83">
        <f>D515+F511</f>
        <v>1793626</v>
      </c>
      <c r="G515" s="83">
        <f>F515+G511</f>
        <v>1368893</v>
      </c>
      <c r="H515" s="83">
        <f>G515+H511</f>
        <v>946344</v>
      </c>
      <c r="I515" s="83">
        <f>H515+I511</f>
        <v>517248</v>
      </c>
      <c r="J515" s="83">
        <f>I515+J511</f>
        <v>77567</v>
      </c>
      <c r="K515" s="83">
        <f>J515+K511</f>
        <v>178243</v>
      </c>
    </row>
    <row r="516" spans="2:12" s="569" customFormat="1" ht="15.75" hidden="1" thickTop="1">
      <c r="B516" s="155"/>
      <c r="C516" s="132">
        <f>'Budget Detail FY 2013-20'!L746</f>
        <v>2993332</v>
      </c>
      <c r="D516" s="132">
        <f>'Budget Detail FY 2013-20'!M746</f>
        <v>2879170</v>
      </c>
      <c r="E516" s="132">
        <f>'Budget Detail FY 2013-20'!N746</f>
        <v>1959540</v>
      </c>
      <c r="F516" s="132">
        <f>'Budget Detail FY 2013-20'!O746</f>
        <v>1793626</v>
      </c>
      <c r="G516" s="132">
        <f>'Budget Detail FY 2013-20'!P746</f>
        <v>1368893</v>
      </c>
      <c r="H516" s="132">
        <f>'Budget Detail FY 2013-20'!Q746</f>
        <v>946344</v>
      </c>
      <c r="I516" s="132">
        <f>'Budget Detail FY 2013-20'!R746</f>
        <v>517248</v>
      </c>
      <c r="J516" s="132">
        <f>'Budget Detail FY 2013-20'!S746</f>
        <v>77567</v>
      </c>
      <c r="K516" s="132">
        <f>'Budget Detail FY 2013-20'!T746</f>
        <v>178243</v>
      </c>
      <c r="L516" s="571" t="s">
        <v>1150</v>
      </c>
    </row>
    <row r="517" spans="2:12" s="570" customFormat="1" hidden="1">
      <c r="B517" s="157"/>
      <c r="C517" s="163">
        <f>C515-C516</f>
        <v>0</v>
      </c>
      <c r="D517" s="163">
        <f t="shared" ref="D517:K517" si="84">D515-D516</f>
        <v>0</v>
      </c>
      <c r="E517" s="163">
        <f t="shared" si="84"/>
        <v>0</v>
      </c>
      <c r="F517" s="163">
        <f t="shared" si="84"/>
        <v>0</v>
      </c>
      <c r="G517" s="163">
        <f t="shared" si="84"/>
        <v>0</v>
      </c>
      <c r="H517" s="163">
        <f t="shared" si="84"/>
        <v>0</v>
      </c>
      <c r="I517" s="163">
        <f t="shared" si="84"/>
        <v>0</v>
      </c>
      <c r="J517" s="163">
        <f t="shared" si="84"/>
        <v>0</v>
      </c>
      <c r="K517" s="163">
        <f t="shared" si="84"/>
        <v>0</v>
      </c>
      <c r="L517" s="571" t="s">
        <v>1151</v>
      </c>
    </row>
    <row r="518" spans="2:12" ht="15.75" thickTop="1">
      <c r="B518" s="165"/>
      <c r="C518" s="166">
        <f t="shared" ref="C518:J518" si="85">+C515/C507</f>
        <v>1.8029948199012167</v>
      </c>
      <c r="D518" s="166">
        <f t="shared" si="85"/>
        <v>1.1499306847215227</v>
      </c>
      <c r="E518" s="166">
        <f t="shared" si="85"/>
        <v>0.60907750963096785</v>
      </c>
      <c r="F518" s="166">
        <f t="shared" si="85"/>
        <v>0.51554013658626319</v>
      </c>
      <c r="G518" s="166">
        <f t="shared" si="85"/>
        <v>0.46543777861722552</v>
      </c>
      <c r="H518" s="166">
        <f t="shared" si="85"/>
        <v>0.31946894260122655</v>
      </c>
      <c r="I518" s="166">
        <f t="shared" si="85"/>
        <v>0.17260690323497788</v>
      </c>
      <c r="J518" s="166">
        <f t="shared" si="85"/>
        <v>2.5603869677633593E-2</v>
      </c>
      <c r="K518" s="166">
        <f>+K515/K507</f>
        <v>7.0850163806446848E-2</v>
      </c>
    </row>
    <row r="519" spans="2:12">
      <c r="B519" s="165"/>
      <c r="C519" s="166"/>
      <c r="D519" s="166"/>
      <c r="E519" s="166"/>
      <c r="F519" s="166"/>
      <c r="G519" s="166"/>
      <c r="H519" s="166"/>
      <c r="I519" s="166"/>
      <c r="J519" s="166"/>
      <c r="K519" s="166"/>
    </row>
    <row r="520" spans="2:12" ht="7.5" customHeight="1">
      <c r="B520" s="165"/>
      <c r="C520" s="2"/>
      <c r="D520" s="2"/>
      <c r="E520" s="2"/>
      <c r="F520" s="2"/>
      <c r="G520" s="2"/>
      <c r="H520" s="2"/>
      <c r="I520" s="2"/>
      <c r="J520" s="2"/>
      <c r="K520" s="2"/>
    </row>
    <row r="521" spans="2:12">
      <c r="B521" s="1"/>
      <c r="C521" s="2"/>
      <c r="D521" s="2"/>
      <c r="E521" s="2"/>
      <c r="F521" s="2"/>
      <c r="G521" s="2"/>
      <c r="H521" s="2"/>
      <c r="I521" s="2"/>
      <c r="J521" s="2"/>
      <c r="K521" s="2"/>
    </row>
    <row r="522" spans="2:12">
      <c r="B522" s="1"/>
      <c r="C522" s="2"/>
      <c r="D522" s="2"/>
      <c r="E522" s="2"/>
      <c r="F522" s="2"/>
      <c r="G522" s="2"/>
      <c r="H522" s="2"/>
      <c r="I522" s="2"/>
      <c r="J522" s="2"/>
      <c r="K522" s="2"/>
    </row>
    <row r="523" spans="2:12">
      <c r="B523" s="1"/>
      <c r="C523" s="2"/>
      <c r="D523" s="2"/>
      <c r="E523" s="2"/>
      <c r="F523" s="2"/>
      <c r="G523" s="2"/>
      <c r="H523" s="2"/>
      <c r="I523" s="2"/>
      <c r="J523" s="2"/>
      <c r="K523" s="2"/>
    </row>
    <row r="524" spans="2:12">
      <c r="B524" s="1"/>
      <c r="C524" s="2"/>
      <c r="D524" s="2"/>
      <c r="E524" s="2"/>
      <c r="F524" s="2"/>
      <c r="G524" s="2"/>
      <c r="H524" s="2"/>
      <c r="I524" s="2"/>
      <c r="J524" s="2"/>
      <c r="K524" s="2"/>
    </row>
    <row r="525" spans="2:12">
      <c r="B525" s="1"/>
      <c r="C525" s="2"/>
      <c r="D525" s="2"/>
      <c r="E525" s="2"/>
      <c r="F525" s="2"/>
      <c r="G525" s="2"/>
      <c r="H525" s="2"/>
      <c r="I525" s="2"/>
      <c r="J525" s="2"/>
      <c r="K525" s="2"/>
    </row>
    <row r="526" spans="2:12">
      <c r="B526" s="1"/>
      <c r="C526" s="2"/>
      <c r="D526" s="2"/>
      <c r="E526" s="2"/>
      <c r="F526" s="2"/>
      <c r="G526" s="2"/>
      <c r="H526" s="2"/>
      <c r="I526" s="2"/>
      <c r="J526" s="2"/>
      <c r="K526" s="2"/>
    </row>
    <row r="527" spans="2:12">
      <c r="B527" s="1"/>
      <c r="C527" s="2"/>
      <c r="D527" s="2"/>
      <c r="E527" s="2"/>
      <c r="F527" s="2"/>
      <c r="G527" s="2"/>
      <c r="H527" s="2"/>
      <c r="I527" s="2"/>
      <c r="J527" s="2"/>
      <c r="K527" s="2"/>
    </row>
    <row r="528" spans="2:12">
      <c r="B528" s="1"/>
      <c r="C528" s="2"/>
      <c r="D528" s="2"/>
      <c r="E528" s="2"/>
      <c r="F528" s="2"/>
      <c r="G528" s="2"/>
      <c r="H528" s="2"/>
      <c r="I528" s="2"/>
      <c r="J528" s="2"/>
      <c r="K528" s="2"/>
    </row>
    <row r="529" spans="2:11">
      <c r="B529" s="1"/>
      <c r="C529" s="2"/>
      <c r="D529" s="2"/>
      <c r="E529" s="2"/>
      <c r="F529" s="2"/>
      <c r="G529" s="2"/>
      <c r="H529" s="2"/>
      <c r="I529" s="2"/>
      <c r="J529" s="2"/>
      <c r="K529" s="2"/>
    </row>
    <row r="530" spans="2:11">
      <c r="B530" s="1"/>
      <c r="C530" s="2"/>
      <c r="D530" s="2"/>
      <c r="E530" s="2"/>
      <c r="F530" s="2"/>
      <c r="G530" s="2"/>
      <c r="H530" s="2"/>
      <c r="I530" s="2"/>
      <c r="J530" s="2"/>
      <c r="K530" s="2"/>
    </row>
    <row r="531" spans="2:11">
      <c r="B531" s="1"/>
      <c r="C531" s="2"/>
      <c r="D531" s="2"/>
      <c r="E531" s="2"/>
      <c r="F531" s="2"/>
      <c r="G531" s="2"/>
      <c r="H531" s="2"/>
      <c r="I531" s="2"/>
      <c r="J531" s="2"/>
      <c r="K531" s="2"/>
    </row>
    <row r="532" spans="2:11">
      <c r="B532" s="1"/>
      <c r="C532" s="2"/>
      <c r="D532" s="2"/>
      <c r="E532" s="2"/>
      <c r="F532" s="2"/>
      <c r="G532" s="2"/>
      <c r="H532" s="2"/>
      <c r="I532" s="2"/>
      <c r="J532" s="2"/>
      <c r="K532" s="2"/>
    </row>
    <row r="535" spans="2:11">
      <c r="B535" s="740" t="s">
        <v>869</v>
      </c>
      <c r="C535" s="740"/>
      <c r="D535" s="740"/>
      <c r="E535" s="740"/>
      <c r="F535" s="740"/>
      <c r="G535" s="740"/>
      <c r="H535" s="740"/>
      <c r="I535" s="740"/>
      <c r="J535" s="740"/>
      <c r="K535" s="740"/>
    </row>
    <row r="536" spans="2:11">
      <c r="B536" s="65"/>
      <c r="C536" s="3"/>
      <c r="D536" s="2"/>
      <c r="E536" s="2"/>
      <c r="F536" s="2"/>
      <c r="G536" s="2"/>
      <c r="H536" s="2"/>
      <c r="I536" s="2"/>
      <c r="J536" s="2"/>
      <c r="K536" s="2"/>
    </row>
    <row r="537" spans="2:11" ht="12.75" customHeight="1">
      <c r="B537" s="742" t="s">
        <v>870</v>
      </c>
      <c r="C537" s="742"/>
      <c r="D537" s="742"/>
      <c r="E537" s="742"/>
      <c r="F537" s="742"/>
      <c r="G537" s="742"/>
      <c r="H537" s="742"/>
      <c r="I537" s="742"/>
      <c r="J537" s="742"/>
      <c r="K537" s="742"/>
    </row>
    <row r="538" spans="2:11" ht="12.75" customHeight="1">
      <c r="B538" s="742"/>
      <c r="C538" s="742"/>
      <c r="D538" s="742"/>
      <c r="E538" s="742"/>
      <c r="F538" s="742"/>
      <c r="G538" s="742"/>
      <c r="H538" s="742"/>
      <c r="I538" s="742"/>
      <c r="J538" s="742"/>
      <c r="K538" s="742"/>
    </row>
    <row r="539" spans="2:11" ht="18.75" customHeight="1">
      <c r="B539" s="742"/>
      <c r="C539" s="742"/>
      <c r="D539" s="742"/>
      <c r="E539" s="742"/>
      <c r="F539" s="742"/>
      <c r="G539" s="742"/>
      <c r="H539" s="742"/>
      <c r="I539" s="742"/>
      <c r="J539" s="742"/>
      <c r="K539" s="742"/>
    </row>
    <row r="540" spans="2:11">
      <c r="B540" s="5"/>
      <c r="C540" s="65"/>
      <c r="D540" s="66"/>
      <c r="E540" s="65" t="s">
        <v>270</v>
      </c>
      <c r="F540" s="1"/>
      <c r="G540" s="1"/>
      <c r="H540" s="1"/>
      <c r="I540" s="1"/>
      <c r="J540" s="1"/>
      <c r="K540" s="1"/>
    </row>
    <row r="541" spans="2:11">
      <c r="B541" s="66"/>
      <c r="C541" s="65" t="s">
        <v>257</v>
      </c>
      <c r="D541" s="49" t="s">
        <v>258</v>
      </c>
      <c r="E541" s="66" t="s">
        <v>832</v>
      </c>
      <c r="F541" s="66" t="s">
        <v>270</v>
      </c>
      <c r="G541" s="66" t="s">
        <v>271</v>
      </c>
      <c r="H541" s="66" t="s">
        <v>272</v>
      </c>
      <c r="I541" s="66" t="s">
        <v>996</v>
      </c>
      <c r="J541" s="66" t="s">
        <v>1101</v>
      </c>
      <c r="K541" s="66" t="s">
        <v>1136</v>
      </c>
    </row>
    <row r="542" spans="2:11" ht="15.75" thickBot="1">
      <c r="B542" s="169"/>
      <c r="C542" s="68" t="s">
        <v>1</v>
      </c>
      <c r="D542" s="68" t="s">
        <v>1</v>
      </c>
      <c r="E542" s="68" t="s">
        <v>787</v>
      </c>
      <c r="F542" s="68" t="s">
        <v>19</v>
      </c>
      <c r="G542" s="68" t="s">
        <v>832</v>
      </c>
      <c r="H542" s="68" t="s">
        <v>19</v>
      </c>
      <c r="I542" s="68" t="s">
        <v>19</v>
      </c>
      <c r="J542" s="68" t="s">
        <v>19</v>
      </c>
      <c r="K542" s="68" t="s">
        <v>19</v>
      </c>
    </row>
    <row r="543" spans="2:11">
      <c r="B543" s="64"/>
      <c r="C543" s="170"/>
      <c r="D543" s="2"/>
      <c r="E543" s="2"/>
      <c r="F543" s="2"/>
      <c r="G543" s="2"/>
      <c r="H543" s="2"/>
      <c r="I543" s="2"/>
      <c r="J543" s="2"/>
      <c r="K543" s="2"/>
    </row>
    <row r="544" spans="2:11">
      <c r="B544" s="158" t="s">
        <v>833</v>
      </c>
      <c r="C544" s="2"/>
      <c r="D544" s="2"/>
      <c r="E544" s="2"/>
      <c r="F544" s="2"/>
      <c r="G544" s="2"/>
      <c r="H544" s="2"/>
      <c r="I544" s="2"/>
      <c r="J544" s="2"/>
      <c r="K544" s="2"/>
    </row>
    <row r="545" spans="2:12" ht="20.100000000000001" customHeight="1">
      <c r="B545" s="507" t="s">
        <v>835</v>
      </c>
      <c r="C545" s="2">
        <f>SUM('Budget Detail FY 2013-20'!L752:L755)</f>
        <v>400000</v>
      </c>
      <c r="D545" s="2">
        <f>SUM('Budget Detail FY 2013-20'!M752:M755)</f>
        <v>31286</v>
      </c>
      <c r="E545" s="2">
        <f>SUM('Budget Detail FY 2013-20'!N752:N755)</f>
        <v>0</v>
      </c>
      <c r="F545" s="2">
        <f>SUM('Budget Detail FY 2013-20'!O752:O755)</f>
        <v>40144</v>
      </c>
      <c r="G545" s="2">
        <f>SUM('Budget Detail FY 2013-20'!P752:P755)</f>
        <v>400000</v>
      </c>
      <c r="H545" s="2">
        <f>SUM('Budget Detail FY 2013-20'!Q752:Q755)</f>
        <v>400000</v>
      </c>
      <c r="I545" s="2">
        <f>SUM('Budget Detail FY 2013-20'!R752:R755)</f>
        <v>0</v>
      </c>
      <c r="J545" s="2">
        <f>SUM('Budget Detail FY 2013-20'!S752:S755)</f>
        <v>0</v>
      </c>
      <c r="K545" s="2">
        <f>SUM('Budget Detail FY 2013-20'!T752:T755)</f>
        <v>0</v>
      </c>
    </row>
    <row r="546" spans="2:12" ht="20.100000000000001" customHeight="1">
      <c r="B546" s="506" t="s">
        <v>836</v>
      </c>
      <c r="C546" s="2">
        <f>'Budget Detail FY 2013-20'!L756</f>
        <v>0</v>
      </c>
      <c r="D546" s="2">
        <f>'Budget Detail FY 2013-20'!M756</f>
        <v>1733</v>
      </c>
      <c r="E546" s="2">
        <f>'Budget Detail FY 2013-20'!N756</f>
        <v>0</v>
      </c>
      <c r="F546" s="2">
        <f>'Budget Detail FY 2013-20'!O756</f>
        <v>0</v>
      </c>
      <c r="G546" s="2">
        <f>'Budget Detail FY 2013-20'!P756</f>
        <v>0</v>
      </c>
      <c r="H546" s="2">
        <f>'Budget Detail FY 2013-20'!Q756</f>
        <v>0</v>
      </c>
      <c r="I546" s="2">
        <f>'Budget Detail FY 2013-20'!R756</f>
        <v>0</v>
      </c>
      <c r="J546" s="2">
        <f>'Budget Detail FY 2013-20'!S756</f>
        <v>0</v>
      </c>
      <c r="K546" s="2">
        <f>'Budget Detail FY 2013-20'!T756</f>
        <v>0</v>
      </c>
    </row>
    <row r="547" spans="2:12" ht="20.100000000000001" customHeight="1">
      <c r="B547" s="507" t="s">
        <v>839</v>
      </c>
      <c r="C547" s="2">
        <f>'Budget Detail FY 2013-20'!L757</f>
        <v>0</v>
      </c>
      <c r="D547" s="2">
        <f>'Budget Detail FY 2013-20'!M757</f>
        <v>4</v>
      </c>
      <c r="E547" s="2">
        <f>'Budget Detail FY 2013-20'!N757</f>
        <v>0</v>
      </c>
      <c r="F547" s="2">
        <f>'Budget Detail FY 2013-20'!O757</f>
        <v>0</v>
      </c>
      <c r="G547" s="2">
        <f>'Budget Detail FY 2013-20'!P757</f>
        <v>0</v>
      </c>
      <c r="H547" s="2">
        <f>'Budget Detail FY 2013-20'!Q757</f>
        <v>0</v>
      </c>
      <c r="I547" s="2">
        <f>'Budget Detail FY 2013-20'!R757</f>
        <v>0</v>
      </c>
      <c r="J547" s="2">
        <f>'Budget Detail FY 2013-20'!S757</f>
        <v>0</v>
      </c>
      <c r="K547" s="2">
        <f>'Budget Detail FY 2013-20'!T757</f>
        <v>0</v>
      </c>
    </row>
    <row r="548" spans="2:12" ht="20.100000000000001" customHeight="1">
      <c r="B548" s="507" t="s">
        <v>871</v>
      </c>
      <c r="C548" s="2">
        <f>SUM('Budget Detail FY 2013-20'!L759:L764)</f>
        <v>68768</v>
      </c>
      <c r="D548" s="2">
        <f>SUM('Budget Detail FY 2013-20'!M759:M764)</f>
        <v>54579</v>
      </c>
      <c r="E548" s="2">
        <f>SUM('Budget Detail FY 2013-20'!N759:N764)</f>
        <v>23000</v>
      </c>
      <c r="F548" s="2">
        <f>SUM('Budget Detail FY 2013-20'!O759:O764)</f>
        <v>38405</v>
      </c>
      <c r="G548" s="2">
        <f>SUM('Budget Detail FY 2013-20'!P759:P764)</f>
        <v>30500</v>
      </c>
      <c r="H548" s="2">
        <f>SUM('Budget Detail FY 2013-20'!Q759:Q764)</f>
        <v>30500</v>
      </c>
      <c r="I548" s="2">
        <f>SUM('Budget Detail FY 2013-20'!R759:R764)</f>
        <v>30500</v>
      </c>
      <c r="J548" s="2">
        <f>SUM('Budget Detail FY 2013-20'!S759:S764)</f>
        <v>30500</v>
      </c>
      <c r="K548" s="2">
        <f>SUM('Budget Detail FY 2013-20'!T759:T764)</f>
        <v>30500</v>
      </c>
    </row>
    <row r="549" spans="2:12" ht="20.100000000000001" customHeight="1">
      <c r="B549" s="507" t="s">
        <v>840</v>
      </c>
      <c r="C549" s="2">
        <f>'Budget Detail FY 2013-20'!L758</f>
        <v>0</v>
      </c>
      <c r="D549" s="2">
        <f>'Budget Detail FY 2013-20'!M758</f>
        <v>0</v>
      </c>
      <c r="E549" s="2">
        <f>'Budget Detail FY 2013-20'!N758</f>
        <v>0</v>
      </c>
      <c r="F549" s="2">
        <f>'Budget Detail FY 2013-20'!O758</f>
        <v>83311</v>
      </c>
      <c r="G549" s="2">
        <f>'Budget Detail FY 2013-20'!P758</f>
        <v>0</v>
      </c>
      <c r="H549" s="2">
        <f>'Budget Detail FY 2013-20'!Q758</f>
        <v>0</v>
      </c>
      <c r="I549" s="2">
        <f>'Budget Detail FY 2013-20'!R758</f>
        <v>0</v>
      </c>
      <c r="J549" s="2">
        <f>'Budget Detail FY 2013-20'!S758</f>
        <v>0</v>
      </c>
      <c r="K549" s="2">
        <f>'Budget Detail FY 2013-20'!T758</f>
        <v>0</v>
      </c>
    </row>
    <row r="550" spans="2:12" ht="20.100000000000001" customHeight="1">
      <c r="B550" s="509" t="s">
        <v>842</v>
      </c>
      <c r="C550" s="2">
        <f>'Budget Detail FY 2013-20'!L765</f>
        <v>0</v>
      </c>
      <c r="D550" s="2">
        <f>'Budget Detail FY 2013-20'!M765</f>
        <v>50000</v>
      </c>
      <c r="E550" s="2">
        <f>'Budget Detail FY 2013-20'!N765</f>
        <v>50000</v>
      </c>
      <c r="F550" s="2">
        <f>'Budget Detail FY 2013-20'!O765</f>
        <v>0</v>
      </c>
      <c r="G550" s="2">
        <f>'Budget Detail FY 2013-20'!P765</f>
        <v>0</v>
      </c>
      <c r="H550" s="2">
        <f>'Budget Detail FY 2013-20'!Q765</f>
        <v>0</v>
      </c>
      <c r="I550" s="2">
        <f>'Budget Detail FY 2013-20'!R765</f>
        <v>0</v>
      </c>
      <c r="J550" s="2">
        <f>'Budget Detail FY 2013-20'!S765</f>
        <v>0</v>
      </c>
      <c r="K550" s="2">
        <f>'Budget Detail FY 2013-20'!T765</f>
        <v>0</v>
      </c>
    </row>
    <row r="551" spans="2:12" ht="20.100000000000001" customHeight="1" thickBot="1">
      <c r="B551" s="153" t="s">
        <v>843</v>
      </c>
      <c r="C551" s="150">
        <f>SUM(C545:C550)</f>
        <v>468768</v>
      </c>
      <c r="D551" s="150">
        <f t="shared" ref="D551:K551" si="86">SUM(D545:D550)</f>
        <v>137602</v>
      </c>
      <c r="E551" s="150">
        <f t="shared" si="86"/>
        <v>73000</v>
      </c>
      <c r="F551" s="150">
        <f t="shared" si="86"/>
        <v>161860</v>
      </c>
      <c r="G551" s="150">
        <f t="shared" si="86"/>
        <v>430500</v>
      </c>
      <c r="H551" s="150">
        <f t="shared" si="86"/>
        <v>430500</v>
      </c>
      <c r="I551" s="150">
        <f t="shared" si="86"/>
        <v>30500</v>
      </c>
      <c r="J551" s="150">
        <f t="shared" si="86"/>
        <v>30500</v>
      </c>
      <c r="K551" s="150">
        <f t="shared" si="86"/>
        <v>30500</v>
      </c>
    </row>
    <row r="552" spans="2:12" s="569" customFormat="1" hidden="1">
      <c r="B552" s="155"/>
      <c r="C552" s="132">
        <f>'Budget Detail FY 2013-20'!L767</f>
        <v>468768</v>
      </c>
      <c r="D552" s="132">
        <f>'Budget Detail FY 2013-20'!M767</f>
        <v>137602</v>
      </c>
      <c r="E552" s="132">
        <f>'Budget Detail FY 2013-20'!N767</f>
        <v>73000</v>
      </c>
      <c r="F552" s="132">
        <f>'Budget Detail FY 2013-20'!O767</f>
        <v>161860</v>
      </c>
      <c r="G552" s="132">
        <f>'Budget Detail FY 2013-20'!P767</f>
        <v>430500</v>
      </c>
      <c r="H552" s="132">
        <f>'Budget Detail FY 2013-20'!Q767</f>
        <v>430500</v>
      </c>
      <c r="I552" s="132">
        <f>'Budget Detail FY 2013-20'!R767</f>
        <v>30500</v>
      </c>
      <c r="J552" s="132">
        <f>'Budget Detail FY 2013-20'!S767</f>
        <v>30500</v>
      </c>
      <c r="K552" s="132">
        <f>'Budget Detail FY 2013-20'!T767</f>
        <v>30500</v>
      </c>
      <c r="L552" s="571" t="s">
        <v>1150</v>
      </c>
    </row>
    <row r="553" spans="2:12" s="570" customFormat="1" hidden="1">
      <c r="B553" s="157"/>
      <c r="C553" s="133">
        <f>C551-C552</f>
        <v>0</v>
      </c>
      <c r="D553" s="133">
        <f t="shared" ref="D553:K553" si="87">D551-D552</f>
        <v>0</v>
      </c>
      <c r="E553" s="133">
        <f t="shared" si="87"/>
        <v>0</v>
      </c>
      <c r="F553" s="133">
        <f t="shared" si="87"/>
        <v>0</v>
      </c>
      <c r="G553" s="133">
        <f t="shared" si="87"/>
        <v>0</v>
      </c>
      <c r="H553" s="133">
        <f t="shared" si="87"/>
        <v>0</v>
      </c>
      <c r="I553" s="133">
        <f t="shared" si="87"/>
        <v>0</v>
      </c>
      <c r="J553" s="133">
        <f t="shared" si="87"/>
        <v>0</v>
      </c>
      <c r="K553" s="133">
        <f t="shared" si="87"/>
        <v>0</v>
      </c>
      <c r="L553" s="571" t="s">
        <v>1151</v>
      </c>
    </row>
    <row r="554" spans="2:12">
      <c r="B554" s="1"/>
      <c r="C554" s="2"/>
      <c r="D554" s="2"/>
      <c r="E554" s="2"/>
      <c r="F554" s="2"/>
      <c r="G554" s="2"/>
      <c r="H554" s="2"/>
      <c r="I554" s="2"/>
      <c r="J554" s="2"/>
      <c r="K554" s="2"/>
    </row>
    <row r="555" spans="2:12">
      <c r="B555" s="158" t="s">
        <v>598</v>
      </c>
      <c r="C555" s="2"/>
      <c r="D555" s="2"/>
      <c r="E555" s="2"/>
      <c r="F555" s="2"/>
      <c r="G555" s="2"/>
      <c r="H555" s="2"/>
      <c r="I555" s="2"/>
      <c r="J555" s="2"/>
      <c r="K555" s="2"/>
    </row>
    <row r="556" spans="2:12" ht="20.100000000000001" customHeight="1">
      <c r="B556" s="508" t="s">
        <v>846</v>
      </c>
      <c r="C556" s="2">
        <f>'Budget Detail FY 2013-20'!L769</f>
        <v>0</v>
      </c>
      <c r="D556" s="2">
        <f>'Budget Detail FY 2013-20'!M769</f>
        <v>1733</v>
      </c>
      <c r="E556" s="2">
        <f>'Budget Detail FY 2013-20'!N769</f>
        <v>0</v>
      </c>
      <c r="F556" s="2">
        <f>'Budget Detail FY 2013-20'!O769</f>
        <v>0</v>
      </c>
      <c r="G556" s="2">
        <f>'Budget Detail FY 2013-20'!P769</f>
        <v>0</v>
      </c>
      <c r="H556" s="2">
        <f>'Budget Detail FY 2013-20'!Q769</f>
        <v>0</v>
      </c>
      <c r="I556" s="2">
        <f>'Budget Detail FY 2013-20'!R769</f>
        <v>0</v>
      </c>
      <c r="J556" s="2">
        <f>'Budget Detail FY 2013-20'!S769</f>
        <v>0</v>
      </c>
      <c r="K556" s="2">
        <f>'Budget Detail FY 2013-20'!T769</f>
        <v>0</v>
      </c>
    </row>
    <row r="557" spans="2:12" ht="20.100000000000001" customHeight="1">
      <c r="B557" s="508" t="s">
        <v>848</v>
      </c>
      <c r="C557" s="2">
        <f>SUM('Budget Detail FY 2013-20'!L770:L779)</f>
        <v>52570</v>
      </c>
      <c r="D557" s="2">
        <f>SUM('Budget Detail FY 2013-20'!M770:M779)</f>
        <v>69304</v>
      </c>
      <c r="E557" s="2">
        <f>SUM('Budget Detail FY 2013-20'!N770:N779)</f>
        <v>406850</v>
      </c>
      <c r="F557" s="2">
        <f>SUM('Budget Detail FY 2013-20'!O770:O779)</f>
        <v>384679</v>
      </c>
      <c r="G557" s="2">
        <f>SUM('Budget Detail FY 2013-20'!P770:P779)</f>
        <v>580832</v>
      </c>
      <c r="H557" s="2">
        <f>SUM('Budget Detail FY 2013-20'!Q770:Q779)</f>
        <v>100000</v>
      </c>
      <c r="I557" s="2">
        <f>SUM('Budget Detail FY 2013-20'!R770:R779)</f>
        <v>0</v>
      </c>
      <c r="J557" s="2">
        <f>SUM('Budget Detail FY 2013-20'!S770:S779)</f>
        <v>0</v>
      </c>
      <c r="K557" s="2">
        <f>SUM('Budget Detail FY 2013-20'!T770:T779)</f>
        <v>0</v>
      </c>
    </row>
    <row r="558" spans="2:12" ht="20.100000000000001" customHeight="1" thickBot="1">
      <c r="B558" s="153" t="s">
        <v>851</v>
      </c>
      <c r="C558" s="150">
        <f>SUM(C556:C557)</f>
        <v>52570</v>
      </c>
      <c r="D558" s="150">
        <f t="shared" ref="D558:K558" si="88">SUM(D556:D557)</f>
        <v>71037</v>
      </c>
      <c r="E558" s="150">
        <f t="shared" si="88"/>
        <v>406850</v>
      </c>
      <c r="F558" s="150">
        <f t="shared" si="88"/>
        <v>384679</v>
      </c>
      <c r="G558" s="150">
        <f t="shared" si="88"/>
        <v>580832</v>
      </c>
      <c r="H558" s="150">
        <f t="shared" si="88"/>
        <v>100000</v>
      </c>
      <c r="I558" s="150">
        <f t="shared" si="88"/>
        <v>0</v>
      </c>
      <c r="J558" s="150">
        <f t="shared" si="88"/>
        <v>0</v>
      </c>
      <c r="K558" s="150">
        <f t="shared" si="88"/>
        <v>0</v>
      </c>
    </row>
    <row r="559" spans="2:12" s="569" customFormat="1" hidden="1">
      <c r="B559" s="155"/>
      <c r="C559" s="132">
        <f>'Budget Detail FY 2013-20'!L781</f>
        <v>52570</v>
      </c>
      <c r="D559" s="132">
        <f>'Budget Detail FY 2013-20'!M781</f>
        <v>71037</v>
      </c>
      <c r="E559" s="132">
        <f>'Budget Detail FY 2013-20'!N781</f>
        <v>406850</v>
      </c>
      <c r="F559" s="132">
        <f>'Budget Detail FY 2013-20'!O781</f>
        <v>384679</v>
      </c>
      <c r="G559" s="132">
        <f>'Budget Detail FY 2013-20'!P781</f>
        <v>580832</v>
      </c>
      <c r="H559" s="132">
        <f>'Budget Detail FY 2013-20'!Q781</f>
        <v>100000</v>
      </c>
      <c r="I559" s="132">
        <f>'Budget Detail FY 2013-20'!R781</f>
        <v>0</v>
      </c>
      <c r="J559" s="132">
        <f>'Budget Detail FY 2013-20'!S781</f>
        <v>0</v>
      </c>
      <c r="K559" s="132">
        <f>'Budget Detail FY 2013-20'!T781</f>
        <v>0</v>
      </c>
      <c r="L559" s="571" t="s">
        <v>1150</v>
      </c>
    </row>
    <row r="560" spans="2:12" s="570" customFormat="1" hidden="1">
      <c r="B560" s="157"/>
      <c r="C560" s="133">
        <f>C558-C559</f>
        <v>0</v>
      </c>
      <c r="D560" s="133">
        <f t="shared" ref="D560:K560" si="89">D558-D559</f>
        <v>0</v>
      </c>
      <c r="E560" s="133">
        <f t="shared" si="89"/>
        <v>0</v>
      </c>
      <c r="F560" s="133">
        <f t="shared" si="89"/>
        <v>0</v>
      </c>
      <c r="G560" s="133">
        <f t="shared" si="89"/>
        <v>0</v>
      </c>
      <c r="H560" s="133">
        <f t="shared" si="89"/>
        <v>0</v>
      </c>
      <c r="I560" s="133">
        <f t="shared" si="89"/>
        <v>0</v>
      </c>
      <c r="J560" s="133">
        <f t="shared" si="89"/>
        <v>0</v>
      </c>
      <c r="K560" s="133">
        <f t="shared" si="89"/>
        <v>0</v>
      </c>
      <c r="L560" s="571" t="s">
        <v>1151</v>
      </c>
    </row>
    <row r="561" spans="2:12">
      <c r="B561" s="160"/>
      <c r="C561" s="3"/>
      <c r="D561" s="2"/>
      <c r="E561" s="2"/>
      <c r="F561" s="2"/>
      <c r="G561" s="2"/>
      <c r="H561" s="2"/>
      <c r="I561" s="2"/>
      <c r="J561" s="2"/>
      <c r="K561" s="2"/>
    </row>
    <row r="562" spans="2:12" ht="20.100000000000001" customHeight="1">
      <c r="B562" s="510" t="s">
        <v>852</v>
      </c>
      <c r="C562" s="3">
        <f t="shared" ref="C562:K562" si="90">+C551-C558</f>
        <v>416198</v>
      </c>
      <c r="D562" s="3">
        <f t="shared" si="90"/>
        <v>66565</v>
      </c>
      <c r="E562" s="3">
        <f t="shared" si="90"/>
        <v>-333850</v>
      </c>
      <c r="F562" s="3">
        <f t="shared" si="90"/>
        <v>-222819</v>
      </c>
      <c r="G562" s="3">
        <f t="shared" si="90"/>
        <v>-150332</v>
      </c>
      <c r="H562" s="3">
        <f t="shared" si="90"/>
        <v>330500</v>
      </c>
      <c r="I562" s="3">
        <f t="shared" si="90"/>
        <v>30500</v>
      </c>
      <c r="J562" s="3">
        <f t="shared" si="90"/>
        <v>30500</v>
      </c>
      <c r="K562" s="3">
        <f t="shared" si="90"/>
        <v>30500</v>
      </c>
    </row>
    <row r="563" spans="2:12" s="569" customFormat="1" hidden="1">
      <c r="B563" s="161"/>
      <c r="C563" s="132">
        <f>'Budget Detail FY 2013-20'!L783</f>
        <v>416198</v>
      </c>
      <c r="D563" s="132">
        <f>'Budget Detail FY 2013-20'!M783</f>
        <v>66565</v>
      </c>
      <c r="E563" s="132">
        <f>'Budget Detail FY 2013-20'!N783</f>
        <v>-333850</v>
      </c>
      <c r="F563" s="132">
        <f>'Budget Detail FY 2013-20'!O783</f>
        <v>-222819</v>
      </c>
      <c r="G563" s="132">
        <f>'Budget Detail FY 2013-20'!P783</f>
        <v>-150332</v>
      </c>
      <c r="H563" s="132">
        <f>'Budget Detail FY 2013-20'!Q783</f>
        <v>330500</v>
      </c>
      <c r="I563" s="132">
        <f>'Budget Detail FY 2013-20'!R783</f>
        <v>30500</v>
      </c>
      <c r="J563" s="132">
        <f>'Budget Detail FY 2013-20'!S783</f>
        <v>30500</v>
      </c>
      <c r="K563" s="132">
        <f>'Budget Detail FY 2013-20'!T783</f>
        <v>30500</v>
      </c>
      <c r="L563" s="571" t="s">
        <v>1150</v>
      </c>
    </row>
    <row r="564" spans="2:12" s="570" customFormat="1" hidden="1">
      <c r="B564" s="162"/>
      <c r="C564" s="171">
        <f>C562-C563</f>
        <v>0</v>
      </c>
      <c r="D564" s="171">
        <f t="shared" ref="D564:K564" si="91">D562-D563</f>
        <v>0</v>
      </c>
      <c r="E564" s="171">
        <f t="shared" si="91"/>
        <v>0</v>
      </c>
      <c r="F564" s="171">
        <f t="shared" si="91"/>
        <v>0</v>
      </c>
      <c r="G564" s="171">
        <f t="shared" si="91"/>
        <v>0</v>
      </c>
      <c r="H564" s="171">
        <f t="shared" si="91"/>
        <v>0</v>
      </c>
      <c r="I564" s="171">
        <f t="shared" si="91"/>
        <v>0</v>
      </c>
      <c r="J564" s="171">
        <f t="shared" si="91"/>
        <v>0</v>
      </c>
      <c r="K564" s="171">
        <f t="shared" si="91"/>
        <v>0</v>
      </c>
      <c r="L564" s="571" t="s">
        <v>1151</v>
      </c>
    </row>
    <row r="565" spans="2:12">
      <c r="B565" s="164"/>
      <c r="C565" s="3"/>
      <c r="D565" s="2"/>
      <c r="E565" s="2"/>
      <c r="F565" s="2"/>
      <c r="G565" s="2"/>
      <c r="H565" s="2"/>
      <c r="I565" s="2"/>
      <c r="J565" s="2"/>
      <c r="K565" s="2"/>
    </row>
    <row r="566" spans="2:12" ht="20.100000000000001" customHeight="1" thickBot="1">
      <c r="B566" s="152" t="s">
        <v>853</v>
      </c>
      <c r="C566" s="83">
        <v>121420</v>
      </c>
      <c r="D566" s="83">
        <v>187984</v>
      </c>
      <c r="E566" s="83">
        <v>-145213</v>
      </c>
      <c r="F566" s="83">
        <f>D566+F562</f>
        <v>-34835</v>
      </c>
      <c r="G566" s="83">
        <f>F566+G562</f>
        <v>-185167</v>
      </c>
      <c r="H566" s="83">
        <f>G566+H562</f>
        <v>145333</v>
      </c>
      <c r="I566" s="83">
        <f>H566+I562</f>
        <v>175833</v>
      </c>
      <c r="J566" s="83">
        <f>I566+J562</f>
        <v>206333</v>
      </c>
      <c r="K566" s="83">
        <f>J566+K562</f>
        <v>236833</v>
      </c>
    </row>
    <row r="567" spans="2:12" s="569" customFormat="1" ht="15.75" hidden="1" thickTop="1">
      <c r="B567" s="155"/>
      <c r="C567" s="132">
        <f>'Budget Detail FY 2013-20'!L785</f>
        <v>121420</v>
      </c>
      <c r="D567" s="132">
        <f>'Budget Detail FY 2013-20'!M785</f>
        <v>187984</v>
      </c>
      <c r="E567" s="132">
        <f>'Budget Detail FY 2013-20'!N785</f>
        <v>-145213</v>
      </c>
      <c r="F567" s="132">
        <f>'Budget Detail FY 2013-20'!O785</f>
        <v>-34835</v>
      </c>
      <c r="G567" s="132">
        <f>'Budget Detail FY 2013-20'!P785</f>
        <v>-185167</v>
      </c>
      <c r="H567" s="132">
        <f>'Budget Detail FY 2013-20'!Q785</f>
        <v>145333</v>
      </c>
      <c r="I567" s="132">
        <f>'Budget Detail FY 2013-20'!R785</f>
        <v>175833</v>
      </c>
      <c r="J567" s="132">
        <f>'Budget Detail FY 2013-20'!S785</f>
        <v>206333</v>
      </c>
      <c r="K567" s="132">
        <f>'Budget Detail FY 2013-20'!T785</f>
        <v>236833</v>
      </c>
      <c r="L567" s="571" t="s">
        <v>1150</v>
      </c>
    </row>
    <row r="568" spans="2:12" s="570" customFormat="1" hidden="1">
      <c r="B568" s="157"/>
      <c r="C568" s="133">
        <f>C566-C567</f>
        <v>0</v>
      </c>
      <c r="D568" s="133">
        <f t="shared" ref="D568:K568" si="92">D566-D567</f>
        <v>0</v>
      </c>
      <c r="E568" s="133">
        <f t="shared" si="92"/>
        <v>0</v>
      </c>
      <c r="F568" s="133">
        <f t="shared" si="92"/>
        <v>0</v>
      </c>
      <c r="G568" s="133">
        <f t="shared" si="92"/>
        <v>0</v>
      </c>
      <c r="H568" s="133">
        <f t="shared" si="92"/>
        <v>0</v>
      </c>
      <c r="I568" s="133">
        <f t="shared" si="92"/>
        <v>0</v>
      </c>
      <c r="J568" s="133">
        <f t="shared" si="92"/>
        <v>0</v>
      </c>
      <c r="K568" s="133">
        <f t="shared" si="92"/>
        <v>0</v>
      </c>
      <c r="L568" s="571" t="s">
        <v>1151</v>
      </c>
    </row>
    <row r="569" spans="2:12" ht="15.75" thickTop="1">
      <c r="B569" s="165"/>
      <c r="C569" s="3"/>
      <c r="D569" s="3"/>
      <c r="E569" s="3"/>
      <c r="F569" s="2"/>
      <c r="G569" s="2"/>
      <c r="H569" s="2"/>
      <c r="I569" s="2"/>
      <c r="J569" s="2"/>
      <c r="K569" s="2"/>
    </row>
    <row r="570" spans="2:12">
      <c r="B570" s="165"/>
      <c r="C570" s="2"/>
      <c r="D570" s="2"/>
      <c r="E570" s="2"/>
      <c r="F570" s="2"/>
      <c r="G570" s="2"/>
      <c r="H570" s="2"/>
      <c r="I570" s="2"/>
      <c r="J570" s="2"/>
      <c r="K570" s="2"/>
    </row>
    <row r="571" spans="2:12">
      <c r="B571" s="1"/>
      <c r="C571" s="2"/>
      <c r="D571" s="2"/>
      <c r="E571" s="2"/>
      <c r="F571" s="2"/>
      <c r="G571" s="2"/>
      <c r="H571" s="2"/>
      <c r="I571" s="2"/>
      <c r="J571" s="2"/>
      <c r="K571" s="2"/>
    </row>
    <row r="572" spans="2:12">
      <c r="B572" s="1"/>
      <c r="C572" s="2"/>
      <c r="D572" s="2"/>
      <c r="E572" s="2"/>
      <c r="F572" s="2"/>
      <c r="G572" s="2"/>
      <c r="H572" s="2"/>
      <c r="I572" s="2"/>
      <c r="J572" s="2"/>
      <c r="K572" s="2"/>
    </row>
    <row r="573" spans="2:12">
      <c r="B573" s="1"/>
      <c r="C573" s="2"/>
      <c r="D573" s="2"/>
      <c r="E573" s="2"/>
      <c r="F573" s="2"/>
      <c r="G573" s="2"/>
      <c r="H573" s="2"/>
      <c r="I573" s="2"/>
      <c r="J573" s="2"/>
      <c r="K573" s="2"/>
    </row>
    <row r="574" spans="2:12">
      <c r="B574" s="1"/>
      <c r="C574" s="2"/>
      <c r="D574" s="2"/>
      <c r="E574" s="2"/>
      <c r="F574" s="2"/>
      <c r="G574" s="2"/>
      <c r="H574" s="2"/>
      <c r="I574" s="2"/>
      <c r="J574" s="2"/>
      <c r="K574" s="2"/>
    </row>
    <row r="575" spans="2:12">
      <c r="B575" s="1"/>
      <c r="C575" s="2"/>
      <c r="D575" s="2"/>
      <c r="E575" s="2"/>
      <c r="F575" s="2"/>
      <c r="G575" s="2"/>
      <c r="H575" s="2"/>
      <c r="I575" s="2"/>
      <c r="J575" s="2"/>
      <c r="K575" s="2"/>
    </row>
    <row r="576" spans="2:12">
      <c r="B576" s="1"/>
      <c r="C576" s="2"/>
      <c r="D576" s="2"/>
      <c r="E576" s="2"/>
      <c r="F576" s="2"/>
      <c r="G576" s="2"/>
      <c r="H576" s="2"/>
      <c r="I576" s="2"/>
      <c r="J576" s="2"/>
      <c r="K576" s="2"/>
    </row>
    <row r="577" spans="2:11">
      <c r="B577" s="1"/>
      <c r="C577" s="2"/>
      <c r="D577" s="2"/>
      <c r="E577" s="2"/>
      <c r="F577" s="2"/>
      <c r="G577" s="2"/>
      <c r="H577" s="2"/>
      <c r="I577" s="2"/>
      <c r="J577" s="2"/>
      <c r="K577" s="2"/>
    </row>
    <row r="578" spans="2:11">
      <c r="B578" s="1"/>
      <c r="C578" s="2"/>
      <c r="D578" s="2"/>
      <c r="E578" s="2"/>
      <c r="F578" s="2"/>
      <c r="G578" s="2"/>
      <c r="H578" s="2"/>
      <c r="I578" s="2"/>
      <c r="J578" s="2"/>
      <c r="K578" s="2"/>
    </row>
    <row r="579" spans="2:11">
      <c r="B579" s="1"/>
      <c r="C579" s="2"/>
      <c r="D579" s="2"/>
      <c r="E579" s="2"/>
      <c r="F579" s="2"/>
      <c r="G579" s="2"/>
      <c r="H579" s="2"/>
      <c r="I579" s="2"/>
      <c r="J579" s="2"/>
      <c r="K579" s="2"/>
    </row>
    <row r="580" spans="2:11">
      <c r="B580" s="1"/>
      <c r="C580" s="2"/>
      <c r="D580" s="2"/>
      <c r="E580" s="2"/>
      <c r="F580" s="2"/>
      <c r="G580" s="2"/>
      <c r="H580" s="2"/>
      <c r="I580" s="2"/>
      <c r="J580" s="2"/>
      <c r="K580" s="2"/>
    </row>
    <row r="581" spans="2:11">
      <c r="B581" s="1"/>
      <c r="C581" s="2"/>
      <c r="D581" s="2"/>
      <c r="E581" s="2"/>
      <c r="F581" s="2"/>
      <c r="G581" s="2"/>
      <c r="H581" s="2"/>
      <c r="I581" s="2"/>
      <c r="J581" s="2"/>
      <c r="K581" s="2"/>
    </row>
    <row r="584" spans="2:11" ht="18.75" customHeight="1">
      <c r="B584" s="740" t="s">
        <v>872</v>
      </c>
      <c r="C584" s="740"/>
      <c r="D584" s="740"/>
      <c r="E584" s="740"/>
      <c r="F584" s="740"/>
      <c r="G584" s="740"/>
      <c r="H584" s="740"/>
      <c r="I584" s="740"/>
      <c r="J584" s="740"/>
      <c r="K584" s="740"/>
    </row>
    <row r="585" spans="2:11">
      <c r="B585" s="65"/>
      <c r="C585" s="3"/>
      <c r="D585" s="2"/>
      <c r="E585" s="2"/>
      <c r="F585" s="2"/>
      <c r="G585" s="2"/>
      <c r="H585" s="2"/>
      <c r="I585" s="2"/>
      <c r="J585" s="2"/>
      <c r="K585" s="2"/>
    </row>
    <row r="586" spans="2:11" ht="12.75" customHeight="1">
      <c r="B586" s="731" t="s">
        <v>873</v>
      </c>
      <c r="C586" s="731"/>
      <c r="D586" s="731"/>
      <c r="E586" s="731"/>
      <c r="F586" s="731"/>
      <c r="G586" s="731"/>
      <c r="H586" s="731"/>
      <c r="I586" s="731"/>
      <c r="J586" s="731"/>
      <c r="K586" s="731"/>
    </row>
    <row r="587" spans="2:11" ht="12.75" customHeight="1">
      <c r="B587" s="731"/>
      <c r="C587" s="731"/>
      <c r="D587" s="731"/>
      <c r="E587" s="731"/>
      <c r="F587" s="731"/>
      <c r="G587" s="731"/>
      <c r="H587" s="731"/>
      <c r="I587" s="731"/>
      <c r="J587" s="731"/>
      <c r="K587" s="731"/>
    </row>
    <row r="588" spans="2:11" ht="12.75" customHeight="1">
      <c r="B588" s="731"/>
      <c r="C588" s="731"/>
      <c r="D588" s="731"/>
      <c r="E588" s="731"/>
      <c r="F588" s="731"/>
      <c r="G588" s="731"/>
      <c r="H588" s="731"/>
      <c r="I588" s="731"/>
      <c r="J588" s="731"/>
      <c r="K588" s="731"/>
    </row>
    <row r="589" spans="2:11" ht="23.25" customHeight="1">
      <c r="B589" s="731"/>
      <c r="C589" s="731"/>
      <c r="D589" s="731"/>
      <c r="E589" s="731"/>
      <c r="F589" s="731"/>
      <c r="G589" s="731"/>
      <c r="H589" s="731"/>
      <c r="I589" s="731"/>
      <c r="J589" s="731"/>
      <c r="K589" s="731"/>
    </row>
    <row r="590" spans="2:11">
      <c r="B590" s="5"/>
      <c r="C590" s="65"/>
      <c r="D590" s="66"/>
      <c r="E590" s="65" t="s">
        <v>270</v>
      </c>
      <c r="F590" s="1"/>
      <c r="G590" s="1"/>
      <c r="H590" s="1"/>
      <c r="I590" s="1"/>
      <c r="J590" s="1"/>
      <c r="K590" s="1"/>
    </row>
    <row r="591" spans="2:11">
      <c r="B591" s="66"/>
      <c r="C591" s="65" t="s">
        <v>257</v>
      </c>
      <c r="D591" s="49" t="s">
        <v>258</v>
      </c>
      <c r="E591" s="66" t="s">
        <v>832</v>
      </c>
      <c r="F591" s="66" t="s">
        <v>270</v>
      </c>
      <c r="G591" s="66" t="s">
        <v>271</v>
      </c>
      <c r="H591" s="66" t="s">
        <v>272</v>
      </c>
      <c r="I591" s="66" t="s">
        <v>996</v>
      </c>
      <c r="J591" s="66" t="s">
        <v>1101</v>
      </c>
      <c r="K591" s="66" t="s">
        <v>1136</v>
      </c>
    </row>
    <row r="592" spans="2:11" ht="15.75" thickBot="1">
      <c r="B592" s="169"/>
      <c r="C592" s="68" t="s">
        <v>1</v>
      </c>
      <c r="D592" s="68" t="s">
        <v>1</v>
      </c>
      <c r="E592" s="68" t="s">
        <v>787</v>
      </c>
      <c r="F592" s="68" t="s">
        <v>19</v>
      </c>
      <c r="G592" s="68" t="s">
        <v>832</v>
      </c>
      <c r="H592" s="68" t="s">
        <v>19</v>
      </c>
      <c r="I592" s="68" t="s">
        <v>19</v>
      </c>
      <c r="J592" s="68" t="s">
        <v>19</v>
      </c>
      <c r="K592" s="68" t="s">
        <v>19</v>
      </c>
    </row>
    <row r="593" spans="2:12" ht="7.5" customHeight="1">
      <c r="B593" s="64"/>
      <c r="C593" s="170"/>
      <c r="D593" s="2"/>
      <c r="E593" s="2"/>
      <c r="F593" s="2"/>
      <c r="G593" s="2"/>
      <c r="H593" s="2"/>
      <c r="I593" s="2"/>
      <c r="J593" s="2"/>
      <c r="K593" s="2"/>
    </row>
    <row r="594" spans="2:12">
      <c r="B594" s="158" t="s">
        <v>833</v>
      </c>
      <c r="C594" s="2"/>
      <c r="D594" s="2"/>
      <c r="E594" s="2"/>
      <c r="F594" s="2"/>
      <c r="G594" s="2"/>
      <c r="H594" s="2"/>
      <c r="I594" s="2"/>
      <c r="J594" s="2"/>
      <c r="K594" s="2"/>
    </row>
    <row r="595" spans="2:12" ht="20.100000000000001" customHeight="1">
      <c r="B595" s="507" t="s">
        <v>838</v>
      </c>
      <c r="C595" s="2">
        <f>SUM('Budget Detail FY 2013-20'!L789:L792)</f>
        <v>265614</v>
      </c>
      <c r="D595" s="2">
        <f>SUM('Budget Detail FY 2013-20'!M789:M792)</f>
        <v>299478</v>
      </c>
      <c r="E595" s="2">
        <f>SUM('Budget Detail FY 2013-20'!N789:N792)</f>
        <v>280000</v>
      </c>
      <c r="F595" s="2">
        <f>SUM('Budget Detail FY 2013-20'!O789:O792)</f>
        <v>339000</v>
      </c>
      <c r="G595" s="2">
        <f>SUM('Budget Detail FY 2013-20'!P789:P792)</f>
        <v>325000</v>
      </c>
      <c r="H595" s="2">
        <f>SUM('Budget Detail FY 2013-20'!Q789:Q792)</f>
        <v>325000</v>
      </c>
      <c r="I595" s="2">
        <f>SUM('Budget Detail FY 2013-20'!R789:R792)</f>
        <v>325000</v>
      </c>
      <c r="J595" s="2">
        <f>SUM('Budget Detail FY 2013-20'!S789:S792)</f>
        <v>325000</v>
      </c>
      <c r="K595" s="2">
        <f>SUM('Budget Detail FY 2013-20'!T789:T792)</f>
        <v>325000</v>
      </c>
    </row>
    <row r="596" spans="2:12" ht="20.100000000000001" customHeight="1">
      <c r="B596" s="507" t="s">
        <v>839</v>
      </c>
      <c r="C596" s="2">
        <f>'Budget Detail FY 2013-20'!L793</f>
        <v>244</v>
      </c>
      <c r="D596" s="2">
        <f>'Budget Detail FY 2013-20'!M793</f>
        <v>382</v>
      </c>
      <c r="E596" s="2">
        <f>'Budget Detail FY 2013-20'!N793</f>
        <v>250</v>
      </c>
      <c r="F596" s="2">
        <f>'Budget Detail FY 2013-20'!O793</f>
        <v>650</v>
      </c>
      <c r="G596" s="2">
        <f>'Budget Detail FY 2013-20'!P793</f>
        <v>400</v>
      </c>
      <c r="H596" s="2">
        <f>'Budget Detail FY 2013-20'!Q793</f>
        <v>400</v>
      </c>
      <c r="I596" s="2">
        <f>'Budget Detail FY 2013-20'!R793</f>
        <v>400</v>
      </c>
      <c r="J596" s="2">
        <f>'Budget Detail FY 2013-20'!S793</f>
        <v>400</v>
      </c>
      <c r="K596" s="2">
        <f>'Budget Detail FY 2013-20'!T793</f>
        <v>400</v>
      </c>
    </row>
    <row r="597" spans="2:12" ht="20.100000000000001" customHeight="1">
      <c r="B597" s="507" t="s">
        <v>840</v>
      </c>
      <c r="C597" s="2">
        <f>SUM('Budget Detail FY 2013-20'!L794:L795)</f>
        <v>20947</v>
      </c>
      <c r="D597" s="2">
        <f>SUM('Budget Detail FY 2013-20'!M794:M795)</f>
        <v>35728</v>
      </c>
      <c r="E597" s="2">
        <f>SUM('Budget Detail FY 2013-20'!N794:N795)</f>
        <v>0</v>
      </c>
      <c r="F597" s="2">
        <f>SUM('Budget Detail FY 2013-20'!O794:O795)</f>
        <v>0</v>
      </c>
      <c r="G597" s="2">
        <f>SUM('Budget Detail FY 2013-20'!P794:P795)</f>
        <v>0</v>
      </c>
      <c r="H597" s="2">
        <f>SUM('Budget Detail FY 2013-20'!Q794:Q795)</f>
        <v>0</v>
      </c>
      <c r="I597" s="2">
        <f>SUM('Budget Detail FY 2013-20'!R794:R795)</f>
        <v>0</v>
      </c>
      <c r="J597" s="2">
        <f>SUM('Budget Detail FY 2013-20'!S794:S795)</f>
        <v>0</v>
      </c>
      <c r="K597" s="2">
        <f>SUM('Budget Detail FY 2013-20'!T794:T795)</f>
        <v>0</v>
      </c>
    </row>
    <row r="598" spans="2:12" ht="20.100000000000001" customHeight="1">
      <c r="B598" s="507" t="s">
        <v>841</v>
      </c>
      <c r="C598" s="2">
        <f>SUM('Budget Detail FY 2013-20'!L796:L800)</f>
        <v>195868</v>
      </c>
      <c r="D598" s="2">
        <f>SUM('Budget Detail FY 2013-20'!M796:M800)</f>
        <v>188824</v>
      </c>
      <c r="E598" s="2">
        <f>SUM('Budget Detail FY 2013-20'!N796:N800)</f>
        <v>208000</v>
      </c>
      <c r="F598" s="2">
        <f>SUM('Budget Detail FY 2013-20'!O796:O800)</f>
        <v>167000</v>
      </c>
      <c r="G598" s="2">
        <f>SUM('Budget Detail FY 2013-20'!P796:P800)</f>
        <v>181000</v>
      </c>
      <c r="H598" s="2">
        <f>SUM('Budget Detail FY 2013-20'!Q796:Q800)</f>
        <v>191000</v>
      </c>
      <c r="I598" s="2">
        <f>SUM('Budget Detail FY 2013-20'!R796:R800)</f>
        <v>200700</v>
      </c>
      <c r="J598" s="2">
        <f>SUM('Budget Detail FY 2013-20'!S796:S800)</f>
        <v>200700</v>
      </c>
      <c r="K598" s="2">
        <f>SUM('Budget Detail FY 2013-20'!T796:T800)</f>
        <v>200700</v>
      </c>
    </row>
    <row r="599" spans="2:12" ht="20.100000000000001" customHeight="1">
      <c r="B599" s="507" t="s">
        <v>842</v>
      </c>
      <c r="C599" s="2">
        <f>'Budget Detail FY 2013-20'!L801</f>
        <v>955886</v>
      </c>
      <c r="D599" s="2">
        <f>'Budget Detail FY 2013-20'!M801</f>
        <v>1765504</v>
      </c>
      <c r="E599" s="2">
        <f>'Budget Detail FY 2013-20'!N801</f>
        <v>1277606</v>
      </c>
      <c r="F599" s="2">
        <f>'Budget Detail FY 2013-20'!O801</f>
        <v>1277606</v>
      </c>
      <c r="G599" s="2">
        <f>'Budget Detail FY 2013-20'!P801</f>
        <v>1076831</v>
      </c>
      <c r="H599" s="2">
        <f>'Budget Detail FY 2013-20'!Q801</f>
        <v>1342684</v>
      </c>
      <c r="I599" s="2">
        <f>'Budget Detail FY 2013-20'!R801</f>
        <v>1395093</v>
      </c>
      <c r="J599" s="2">
        <f>'Budget Detail FY 2013-20'!S801</f>
        <v>1460521</v>
      </c>
      <c r="K599" s="2">
        <f>'Budget Detail FY 2013-20'!T801</f>
        <v>1529934</v>
      </c>
    </row>
    <row r="600" spans="2:12" ht="20.100000000000001" customHeight="1" thickBot="1">
      <c r="B600" s="153" t="s">
        <v>843</v>
      </c>
      <c r="C600" s="150">
        <f>SUM(C595:C599)</f>
        <v>1438559</v>
      </c>
      <c r="D600" s="150">
        <f t="shared" ref="D600:K600" si="93">SUM(D595:D599)</f>
        <v>2289916</v>
      </c>
      <c r="E600" s="150">
        <f t="shared" si="93"/>
        <v>1765856</v>
      </c>
      <c r="F600" s="150">
        <f t="shared" si="93"/>
        <v>1784256</v>
      </c>
      <c r="G600" s="150">
        <f t="shared" si="93"/>
        <v>1583231</v>
      </c>
      <c r="H600" s="150">
        <f t="shared" si="93"/>
        <v>1859084</v>
      </c>
      <c r="I600" s="150">
        <f t="shared" si="93"/>
        <v>1921193</v>
      </c>
      <c r="J600" s="150">
        <f t="shared" si="93"/>
        <v>1986621</v>
      </c>
      <c r="K600" s="150">
        <f t="shared" si="93"/>
        <v>2056034</v>
      </c>
    </row>
    <row r="601" spans="2:12" s="569" customFormat="1" hidden="1">
      <c r="B601" s="155"/>
      <c r="C601" s="132">
        <f>'Budget Detail FY 2013-20'!L803</f>
        <v>1438559</v>
      </c>
      <c r="D601" s="132">
        <f>'Budget Detail FY 2013-20'!M803</f>
        <v>2289916</v>
      </c>
      <c r="E601" s="132">
        <f>'Budget Detail FY 2013-20'!N803</f>
        <v>1765856</v>
      </c>
      <c r="F601" s="132">
        <f>'Budget Detail FY 2013-20'!O803</f>
        <v>1784256</v>
      </c>
      <c r="G601" s="132">
        <f>'Budget Detail FY 2013-20'!P803</f>
        <v>1583231</v>
      </c>
      <c r="H601" s="132">
        <f>'Budget Detail FY 2013-20'!Q803</f>
        <v>1859084</v>
      </c>
      <c r="I601" s="132">
        <f>'Budget Detail FY 2013-20'!R803</f>
        <v>1921193</v>
      </c>
      <c r="J601" s="132">
        <f>'Budget Detail FY 2013-20'!S803</f>
        <v>1986621</v>
      </c>
      <c r="K601" s="132">
        <f>'Budget Detail FY 2013-20'!T803</f>
        <v>2056034</v>
      </c>
      <c r="L601" s="571" t="s">
        <v>1150</v>
      </c>
    </row>
    <row r="602" spans="2:12" s="570" customFormat="1" hidden="1">
      <c r="B602" s="157"/>
      <c r="C602" s="133">
        <f>C600-C601</f>
        <v>0</v>
      </c>
      <c r="D602" s="133">
        <f t="shared" ref="D602:K602" si="94">D600-D601</f>
        <v>0</v>
      </c>
      <c r="E602" s="133">
        <f t="shared" si="94"/>
        <v>0</v>
      </c>
      <c r="F602" s="133">
        <f t="shared" si="94"/>
        <v>0</v>
      </c>
      <c r="G602" s="133">
        <f t="shared" si="94"/>
        <v>0</v>
      </c>
      <c r="H602" s="133">
        <f t="shared" si="94"/>
        <v>0</v>
      </c>
      <c r="I602" s="133">
        <f t="shared" si="94"/>
        <v>0</v>
      </c>
      <c r="J602" s="133">
        <f t="shared" si="94"/>
        <v>0</v>
      </c>
      <c r="K602" s="133">
        <f t="shared" si="94"/>
        <v>0</v>
      </c>
      <c r="L602" s="571" t="s">
        <v>1151</v>
      </c>
    </row>
    <row r="603" spans="2:12" ht="7.5" customHeight="1">
      <c r="B603" s="1"/>
      <c r="C603" s="2"/>
      <c r="D603" s="2"/>
      <c r="E603" s="2"/>
      <c r="F603" s="2"/>
      <c r="G603" s="2"/>
      <c r="H603" s="2"/>
      <c r="I603" s="2"/>
      <c r="J603" s="2"/>
      <c r="K603" s="2"/>
    </row>
    <row r="604" spans="2:12">
      <c r="B604" s="158" t="s">
        <v>598</v>
      </c>
      <c r="C604" s="2"/>
      <c r="D604" s="2"/>
      <c r="E604" s="2"/>
      <c r="F604" s="2"/>
      <c r="G604" s="2"/>
      <c r="H604" s="2"/>
      <c r="I604" s="2"/>
      <c r="J604" s="2"/>
      <c r="K604" s="2"/>
    </row>
    <row r="605" spans="2:12" ht="20.100000000000001" customHeight="1">
      <c r="B605" s="508" t="s">
        <v>844</v>
      </c>
      <c r="C605" s="2">
        <f>SUM('Budget Detail FY 2013-20'!L806:L808)+SUM('Budget Detail FY 2013-20'!L833:L838)</f>
        <v>671149</v>
      </c>
      <c r="D605" s="2">
        <f>SUM('Budget Detail FY 2013-20'!M806:M808)+SUM('Budget Detail FY 2013-20'!M833:M838)</f>
        <v>708142</v>
      </c>
      <c r="E605" s="2">
        <f>SUM('Budget Detail FY 2013-20'!N806:N808)+SUM('Budget Detail FY 2013-20'!N833:N838)</f>
        <v>840647</v>
      </c>
      <c r="F605" s="2">
        <f>SUM('Budget Detail FY 2013-20'!O806:O808)+SUM('Budget Detail FY 2013-20'!O833:O838)</f>
        <v>793864</v>
      </c>
      <c r="G605" s="2">
        <f>SUM('Budget Detail FY 2013-20'!P806:P808)+SUM('Budget Detail FY 2013-20'!P833:P838)</f>
        <v>863762</v>
      </c>
      <c r="H605" s="2">
        <f>SUM('Budget Detail FY 2013-20'!Q806:Q808)+SUM('Budget Detail FY 2013-20'!Q833:Q838)</f>
        <v>889678</v>
      </c>
      <c r="I605" s="2">
        <f>SUM('Budget Detail FY 2013-20'!R806:R808)+SUM('Budget Detail FY 2013-20'!R833:R838)</f>
        <v>916501</v>
      </c>
      <c r="J605" s="2">
        <f>SUM('Budget Detail FY 2013-20'!S806:S808)+SUM('Budget Detail FY 2013-20'!S833:S838)</f>
        <v>944263</v>
      </c>
      <c r="K605" s="2">
        <f>SUM('Budget Detail FY 2013-20'!T806:T808)+SUM('Budget Detail FY 2013-20'!T833:T838)</f>
        <v>972997</v>
      </c>
    </row>
    <row r="606" spans="2:12" ht="20.100000000000001" customHeight="1">
      <c r="B606" s="508" t="s">
        <v>845</v>
      </c>
      <c r="C606" s="2">
        <f>SUM('Budget Detail FY 2013-20'!L809:L814)+SUM('Budget Detail FY 2013-20'!L839:L844)</f>
        <v>283568</v>
      </c>
      <c r="D606" s="2">
        <f>SUM('Budget Detail FY 2013-20'!M809:M814)+SUM('Budget Detail FY 2013-20'!M839:M844)</f>
        <v>312171</v>
      </c>
      <c r="E606" s="2">
        <f>SUM('Budget Detail FY 2013-20'!N809:N814)+SUM('Budget Detail FY 2013-20'!N839:N844)</f>
        <v>397762</v>
      </c>
      <c r="F606" s="2">
        <f>SUM('Budget Detail FY 2013-20'!O809:O814)+SUM('Budget Detail FY 2013-20'!O839:O844)</f>
        <v>397762</v>
      </c>
      <c r="G606" s="2">
        <f>SUM('Budget Detail FY 2013-20'!P809:P814)+SUM('Budget Detail FY 2013-20'!P839:P844)</f>
        <v>382912</v>
      </c>
      <c r="H606" s="2">
        <f>SUM('Budget Detail FY 2013-20'!Q809:Q814)+SUM('Budget Detail FY 2013-20'!Q839:Q844)</f>
        <v>411602</v>
      </c>
      <c r="I606" s="2">
        <f>SUM('Budget Detail FY 2013-20'!R809:R814)+SUM('Budget Detail FY 2013-20'!R839:R844)</f>
        <v>442432</v>
      </c>
      <c r="J606" s="2">
        <f>SUM('Budget Detail FY 2013-20'!S809:S814)+SUM('Budget Detail FY 2013-20'!S839:S844)</f>
        <v>475799</v>
      </c>
      <c r="K606" s="2">
        <f>SUM('Budget Detail FY 2013-20'!T809:T814)+SUM('Budget Detail FY 2013-20'!T839:T844)</f>
        <v>511898</v>
      </c>
    </row>
    <row r="607" spans="2:12" ht="20.100000000000001" customHeight="1">
      <c r="B607" s="508" t="s">
        <v>846</v>
      </c>
      <c r="C607" s="2">
        <f>SUM('Budget Detail FY 2013-20'!L815:L822)+SUM('Budget Detail FY 2013-20'!L845:L857)</f>
        <v>159624</v>
      </c>
      <c r="D607" s="2">
        <f>SUM('Budget Detail FY 2013-20'!M815:M822)+SUM('Budget Detail FY 2013-20'!M845:M857)</f>
        <v>217004</v>
      </c>
      <c r="E607" s="2">
        <f>SUM('Budget Detail FY 2013-20'!N815:N822)+SUM('Budget Detail FY 2013-20'!N845:N857)</f>
        <v>374430</v>
      </c>
      <c r="F607" s="2">
        <f>SUM('Budget Detail FY 2013-20'!O815:O822)+SUM('Budget Detail FY 2013-20'!O845:O857)</f>
        <v>368407</v>
      </c>
      <c r="G607" s="2">
        <f>SUM('Budget Detail FY 2013-20'!P815:P822)+SUM('Budget Detail FY 2013-20'!P845:P857)</f>
        <v>234780</v>
      </c>
      <c r="H607" s="2">
        <f>SUM('Budget Detail FY 2013-20'!Q815:Q822)+SUM('Budget Detail FY 2013-20'!Q845:Q857)</f>
        <v>232980</v>
      </c>
      <c r="I607" s="2">
        <f>SUM('Budget Detail FY 2013-20'!R815:R822)+SUM('Budget Detail FY 2013-20'!R845:R857)</f>
        <v>234252</v>
      </c>
      <c r="J607" s="2">
        <f>SUM('Budget Detail FY 2013-20'!S815:S822)+SUM('Budget Detail FY 2013-20'!S845:S857)</f>
        <v>235600</v>
      </c>
      <c r="K607" s="2">
        <f>SUM('Budget Detail FY 2013-20'!T815:T822)+SUM('Budget Detail FY 2013-20'!T845:T857)</f>
        <v>237029</v>
      </c>
    </row>
    <row r="608" spans="2:12" ht="20.100000000000001" customHeight="1">
      <c r="B608" s="508" t="s">
        <v>847</v>
      </c>
      <c r="C608" s="2">
        <f>SUM('Budget Detail FY 2013-20'!L823:L829)+SUM('Budget Detail FY 2013-20'!L858:L866)</f>
        <v>283915</v>
      </c>
      <c r="D608" s="2">
        <f>SUM('Budget Detail FY 2013-20'!M823:M829)+SUM('Budget Detail FY 2013-20'!M858:M866)</f>
        <v>337444</v>
      </c>
      <c r="E608" s="2">
        <f>SUM('Budget Detail FY 2013-20'!N823:N829)+SUM('Budget Detail FY 2013-20'!N858:N866)</f>
        <v>298608</v>
      </c>
      <c r="F608" s="2">
        <f>SUM('Budget Detail FY 2013-20'!O823:O829)+SUM('Budget Detail FY 2013-20'!O858:O866)</f>
        <v>288608</v>
      </c>
      <c r="G608" s="2">
        <f>SUM('Budget Detail FY 2013-20'!P823:P829)+SUM('Budget Detail FY 2013-20'!P858:P866)</f>
        <v>314486</v>
      </c>
      <c r="H608" s="2">
        <f>SUM('Budget Detail FY 2013-20'!Q823:Q829)+SUM('Budget Detail FY 2013-20'!Q858:Q866)</f>
        <v>316588</v>
      </c>
      <c r="I608" s="2">
        <f>SUM('Budget Detail FY 2013-20'!R823:R829)+SUM('Budget Detail FY 2013-20'!R858:R866)</f>
        <v>318832</v>
      </c>
      <c r="J608" s="2">
        <f>SUM('Budget Detail FY 2013-20'!S823:S829)+SUM('Budget Detail FY 2013-20'!S858:S866)</f>
        <v>321228</v>
      </c>
      <c r="K608" s="2">
        <f>SUM('Budget Detail FY 2013-20'!T823:T829)+SUM('Budget Detail FY 2013-20'!T858:T866)</f>
        <v>323787</v>
      </c>
    </row>
    <row r="609" spans="2:12" ht="20.100000000000001" customHeight="1">
      <c r="B609" s="509" t="s">
        <v>850</v>
      </c>
      <c r="C609" s="2">
        <f>'Budget Detail FY 2013-20'!L867</f>
        <v>0</v>
      </c>
      <c r="D609" s="2">
        <f>'Budget Detail FY 2013-20'!M867</f>
        <v>489043</v>
      </c>
      <c r="E609" s="2">
        <f>'Budget Detail FY 2013-20'!N867</f>
        <v>0</v>
      </c>
      <c r="F609" s="2">
        <f>'Budget Detail FY 2013-20'!O867</f>
        <v>0</v>
      </c>
      <c r="G609" s="2">
        <f>'Budget Detail FY 2013-20'!P867</f>
        <v>0</v>
      </c>
      <c r="H609" s="2">
        <f>'Budget Detail FY 2013-20'!Q867</f>
        <v>0</v>
      </c>
      <c r="I609" s="2">
        <f>'Budget Detail FY 2013-20'!R867</f>
        <v>0</v>
      </c>
      <c r="J609" s="2">
        <f>'Budget Detail FY 2013-20'!S867</f>
        <v>0</v>
      </c>
      <c r="K609" s="2">
        <f>'Budget Detail FY 2013-20'!T867</f>
        <v>0</v>
      </c>
    </row>
    <row r="610" spans="2:12" ht="20.100000000000001" customHeight="1" thickBot="1">
      <c r="B610" s="153" t="s">
        <v>851</v>
      </c>
      <c r="C610" s="150">
        <f>SUM(C605:C609)</f>
        <v>1398256</v>
      </c>
      <c r="D610" s="150">
        <f t="shared" ref="D610:K610" si="95">SUM(D605:D609)</f>
        <v>2063804</v>
      </c>
      <c r="E610" s="150">
        <f t="shared" si="95"/>
        <v>1911447</v>
      </c>
      <c r="F610" s="150">
        <f t="shared" si="95"/>
        <v>1848641</v>
      </c>
      <c r="G610" s="150">
        <f t="shared" si="95"/>
        <v>1795940</v>
      </c>
      <c r="H610" s="150">
        <f t="shared" si="95"/>
        <v>1850848</v>
      </c>
      <c r="I610" s="150">
        <f t="shared" si="95"/>
        <v>1912017</v>
      </c>
      <c r="J610" s="150">
        <f t="shared" si="95"/>
        <v>1976890</v>
      </c>
      <c r="K610" s="150">
        <f t="shared" si="95"/>
        <v>2045711</v>
      </c>
    </row>
    <row r="611" spans="2:12" s="569" customFormat="1" hidden="1">
      <c r="B611" s="155"/>
      <c r="C611" s="132">
        <f>'Budget Detail FY 2013-20'!L870</f>
        <v>1398256</v>
      </c>
      <c r="D611" s="132">
        <f>'Budget Detail FY 2013-20'!M870</f>
        <v>2063804</v>
      </c>
      <c r="E611" s="132">
        <f>'Budget Detail FY 2013-20'!N870</f>
        <v>1911447</v>
      </c>
      <c r="F611" s="132">
        <f>'Budget Detail FY 2013-20'!O870</f>
        <v>1848641</v>
      </c>
      <c r="G611" s="132">
        <f>'Budget Detail FY 2013-20'!P870</f>
        <v>1795940</v>
      </c>
      <c r="H611" s="132">
        <f>'Budget Detail FY 2013-20'!Q870</f>
        <v>1850848</v>
      </c>
      <c r="I611" s="132">
        <f>'Budget Detail FY 2013-20'!R870</f>
        <v>1912017</v>
      </c>
      <c r="J611" s="132">
        <f>'Budget Detail FY 2013-20'!S870</f>
        <v>1976890</v>
      </c>
      <c r="K611" s="132">
        <f>'Budget Detail FY 2013-20'!T870</f>
        <v>2045711</v>
      </c>
      <c r="L611" s="571" t="s">
        <v>1150</v>
      </c>
    </row>
    <row r="612" spans="2:12" s="570" customFormat="1" hidden="1">
      <c r="B612" s="157"/>
      <c r="C612" s="163">
        <f>C610-C611</f>
        <v>0</v>
      </c>
      <c r="D612" s="163">
        <f t="shared" ref="D612:K612" si="96">D610-D611</f>
        <v>0</v>
      </c>
      <c r="E612" s="163">
        <f t="shared" si="96"/>
        <v>0</v>
      </c>
      <c r="F612" s="163">
        <f t="shared" si="96"/>
        <v>0</v>
      </c>
      <c r="G612" s="163">
        <f t="shared" si="96"/>
        <v>0</v>
      </c>
      <c r="H612" s="163">
        <f t="shared" si="96"/>
        <v>0</v>
      </c>
      <c r="I612" s="163">
        <f t="shared" si="96"/>
        <v>0</v>
      </c>
      <c r="J612" s="163">
        <f t="shared" si="96"/>
        <v>0</v>
      </c>
      <c r="K612" s="163">
        <f t="shared" si="96"/>
        <v>0</v>
      </c>
      <c r="L612" s="571" t="s">
        <v>1151</v>
      </c>
    </row>
    <row r="613" spans="2:12" ht="7.5" customHeight="1">
      <c r="B613" s="160"/>
      <c r="C613" s="3"/>
      <c r="D613" s="2"/>
      <c r="E613" s="2"/>
      <c r="F613" s="2"/>
      <c r="G613" s="2"/>
      <c r="H613" s="2"/>
      <c r="I613" s="2"/>
      <c r="J613" s="2"/>
      <c r="K613" s="2"/>
    </row>
    <row r="614" spans="2:12" ht="20.100000000000001" customHeight="1">
      <c r="B614" s="510" t="s">
        <v>852</v>
      </c>
      <c r="C614" s="3">
        <f t="shared" ref="C614:K614" si="97">+C600-C610</f>
        <v>40303</v>
      </c>
      <c r="D614" s="3">
        <f t="shared" si="97"/>
        <v>226112</v>
      </c>
      <c r="E614" s="3">
        <f t="shared" si="97"/>
        <v>-145591</v>
      </c>
      <c r="F614" s="3">
        <f t="shared" si="97"/>
        <v>-64385</v>
      </c>
      <c r="G614" s="3">
        <f t="shared" si="97"/>
        <v>-212709</v>
      </c>
      <c r="H614" s="3">
        <f t="shared" si="97"/>
        <v>8236</v>
      </c>
      <c r="I614" s="3">
        <f t="shared" si="97"/>
        <v>9176</v>
      </c>
      <c r="J614" s="3">
        <f t="shared" si="97"/>
        <v>9731</v>
      </c>
      <c r="K614" s="3">
        <f t="shared" si="97"/>
        <v>10323</v>
      </c>
    </row>
    <row r="615" spans="2:12" s="569" customFormat="1" hidden="1">
      <c r="B615" s="161"/>
      <c r="C615" s="132">
        <f>'Budget Detail FY 2013-20'!L872</f>
        <v>40303</v>
      </c>
      <c r="D615" s="132">
        <f>'Budget Detail FY 2013-20'!M872</f>
        <v>226112</v>
      </c>
      <c r="E615" s="132">
        <f>'Budget Detail FY 2013-20'!N872</f>
        <v>-145591</v>
      </c>
      <c r="F615" s="132">
        <f>'Budget Detail FY 2013-20'!O872</f>
        <v>-64385</v>
      </c>
      <c r="G615" s="132">
        <f>'Budget Detail FY 2013-20'!P872</f>
        <v>-212709</v>
      </c>
      <c r="H615" s="132">
        <f>'Budget Detail FY 2013-20'!Q872</f>
        <v>8236</v>
      </c>
      <c r="I615" s="132">
        <f>'Budget Detail FY 2013-20'!R872</f>
        <v>9176</v>
      </c>
      <c r="J615" s="132">
        <f>'Budget Detail FY 2013-20'!S872</f>
        <v>9731</v>
      </c>
      <c r="K615" s="132">
        <f>'Budget Detail FY 2013-20'!T872</f>
        <v>10323</v>
      </c>
      <c r="L615" s="571" t="s">
        <v>1150</v>
      </c>
    </row>
    <row r="616" spans="2:12" s="570" customFormat="1" hidden="1">
      <c r="B616" s="162"/>
      <c r="C616" s="163">
        <f>C614-C615</f>
        <v>0</v>
      </c>
      <c r="D616" s="163">
        <f t="shared" ref="D616:K616" si="98">D614-D615</f>
        <v>0</v>
      </c>
      <c r="E616" s="163">
        <f t="shared" si="98"/>
        <v>0</v>
      </c>
      <c r="F616" s="163">
        <f t="shared" si="98"/>
        <v>0</v>
      </c>
      <c r="G616" s="163">
        <f t="shared" si="98"/>
        <v>0</v>
      </c>
      <c r="H616" s="163">
        <f t="shared" si="98"/>
        <v>0</v>
      </c>
      <c r="I616" s="163">
        <f t="shared" si="98"/>
        <v>0</v>
      </c>
      <c r="J616" s="163">
        <f t="shared" si="98"/>
        <v>0</v>
      </c>
      <c r="K616" s="163">
        <f t="shared" si="98"/>
        <v>0</v>
      </c>
      <c r="L616" s="571" t="s">
        <v>1151</v>
      </c>
    </row>
    <row r="617" spans="2:12" ht="7.5" customHeight="1">
      <c r="B617" s="164"/>
      <c r="C617" s="3"/>
      <c r="D617" s="2"/>
      <c r="E617" s="2"/>
      <c r="F617" s="2"/>
      <c r="G617" s="2"/>
      <c r="H617" s="2"/>
      <c r="I617" s="2"/>
      <c r="J617" s="2"/>
      <c r="K617" s="2"/>
    </row>
    <row r="618" spans="2:12" ht="20.100000000000001" customHeight="1" thickBot="1">
      <c r="B618" s="152" t="s">
        <v>853</v>
      </c>
      <c r="C618" s="83">
        <v>320370</v>
      </c>
      <c r="D618" s="83">
        <v>546485</v>
      </c>
      <c r="E618" s="83">
        <v>286717</v>
      </c>
      <c r="F618" s="83">
        <f>D618+F614</f>
        <v>482100</v>
      </c>
      <c r="G618" s="83">
        <f>F618+G614</f>
        <v>269391</v>
      </c>
      <c r="H618" s="83">
        <f>G618+H614</f>
        <v>277627</v>
      </c>
      <c r="I618" s="83">
        <f>H618+I614</f>
        <v>286803</v>
      </c>
      <c r="J618" s="83">
        <f>I618+J614</f>
        <v>296534</v>
      </c>
      <c r="K618" s="83">
        <f>J618+K614</f>
        <v>306857</v>
      </c>
    </row>
    <row r="619" spans="2:12" s="569" customFormat="1" ht="15.75" hidden="1" thickTop="1">
      <c r="B619" s="155"/>
      <c r="C619" s="132">
        <f>'Budget Detail FY 2013-20'!L874</f>
        <v>320370</v>
      </c>
      <c r="D619" s="132">
        <f>'Budget Detail FY 2013-20'!M874</f>
        <v>546485</v>
      </c>
      <c r="E619" s="132">
        <f>'Budget Detail FY 2013-20'!N874</f>
        <v>286717</v>
      </c>
      <c r="F619" s="132">
        <f>'Budget Detail FY 2013-20'!O874</f>
        <v>482100</v>
      </c>
      <c r="G619" s="132">
        <f>'Budget Detail FY 2013-20'!P874</f>
        <v>269391</v>
      </c>
      <c r="H619" s="132">
        <f>'Budget Detail FY 2013-20'!Q874</f>
        <v>277627</v>
      </c>
      <c r="I619" s="132">
        <f>'Budget Detail FY 2013-20'!R874</f>
        <v>286803</v>
      </c>
      <c r="J619" s="132">
        <f>'Budget Detail FY 2013-20'!S874</f>
        <v>296534</v>
      </c>
      <c r="K619" s="132">
        <f>'Budget Detail FY 2013-20'!T874</f>
        <v>306857</v>
      </c>
      <c r="L619" s="571" t="s">
        <v>1150</v>
      </c>
    </row>
    <row r="620" spans="2:12" s="570" customFormat="1" hidden="1">
      <c r="B620" s="157"/>
      <c r="C620" s="163">
        <f>C618-C619</f>
        <v>0</v>
      </c>
      <c r="D620" s="163">
        <f t="shared" ref="D620:K620" si="99">D618-D619</f>
        <v>0</v>
      </c>
      <c r="E620" s="163">
        <f t="shared" si="99"/>
        <v>0</v>
      </c>
      <c r="F620" s="163">
        <f t="shared" si="99"/>
        <v>0</v>
      </c>
      <c r="G620" s="163">
        <f t="shared" si="99"/>
        <v>0</v>
      </c>
      <c r="H620" s="163">
        <f t="shared" si="99"/>
        <v>0</v>
      </c>
      <c r="I620" s="163">
        <f t="shared" si="99"/>
        <v>0</v>
      </c>
      <c r="J620" s="163">
        <f t="shared" si="99"/>
        <v>0</v>
      </c>
      <c r="K620" s="163">
        <f t="shared" si="99"/>
        <v>0</v>
      </c>
      <c r="L620" s="571" t="s">
        <v>1151</v>
      </c>
    </row>
    <row r="621" spans="2:12" ht="15.75" thickTop="1">
      <c r="B621" s="165"/>
      <c r="C621" s="166">
        <f>+C618/C610</f>
        <v>0.22912113375519219</v>
      </c>
      <c r="D621" s="166">
        <f t="shared" ref="D621:J621" si="100">+D618/D610</f>
        <v>0.26479500960362518</v>
      </c>
      <c r="E621" s="166">
        <f t="shared" si="100"/>
        <v>0.14999997384180674</v>
      </c>
      <c r="F621" s="166">
        <f t="shared" si="100"/>
        <v>0.26078616670299964</v>
      </c>
      <c r="G621" s="166">
        <f t="shared" si="100"/>
        <v>0.15</v>
      </c>
      <c r="H621" s="166">
        <f t="shared" si="100"/>
        <v>0.1499998919414236</v>
      </c>
      <c r="I621" s="166">
        <f t="shared" si="100"/>
        <v>0.15000023535355594</v>
      </c>
      <c r="J621" s="166">
        <f t="shared" si="100"/>
        <v>0.15000025292251973</v>
      </c>
      <c r="K621" s="166">
        <f>+K618/K610</f>
        <v>0.15000017108966027</v>
      </c>
    </row>
    <row r="622" spans="2:12">
      <c r="B622" s="165"/>
      <c r="C622" s="166"/>
      <c r="D622" s="166"/>
      <c r="E622" s="166"/>
      <c r="F622" s="166"/>
      <c r="G622" s="166"/>
      <c r="H622" s="166"/>
      <c r="I622" s="166"/>
      <c r="J622" s="166"/>
      <c r="K622" s="166"/>
    </row>
    <row r="623" spans="2:12" ht="7.5" customHeight="1">
      <c r="B623" s="165"/>
      <c r="C623" s="2"/>
      <c r="D623" s="2"/>
      <c r="E623" s="2"/>
      <c r="F623" s="2"/>
      <c r="G623" s="2"/>
      <c r="H623" s="2"/>
      <c r="I623" s="2"/>
      <c r="J623" s="2"/>
      <c r="K623" s="2"/>
    </row>
    <row r="624" spans="2:12">
      <c r="B624" s="1"/>
      <c r="C624" s="2"/>
      <c r="D624" s="2"/>
      <c r="E624" s="2"/>
      <c r="F624" s="2"/>
      <c r="G624" s="2"/>
      <c r="H624" s="2"/>
      <c r="I624" s="2"/>
      <c r="J624" s="2"/>
      <c r="K624" s="2"/>
    </row>
    <row r="625" spans="2:11">
      <c r="B625" s="1"/>
      <c r="C625" s="2"/>
      <c r="D625" s="2"/>
      <c r="E625" s="2"/>
      <c r="F625" s="2"/>
      <c r="G625" s="2"/>
      <c r="H625" s="2"/>
      <c r="I625" s="2"/>
      <c r="J625" s="2"/>
      <c r="K625" s="2"/>
    </row>
    <row r="626" spans="2:11">
      <c r="B626" s="1"/>
      <c r="C626" s="2"/>
      <c r="D626" s="2"/>
      <c r="E626" s="2"/>
      <c r="F626" s="2"/>
      <c r="G626" s="2"/>
      <c r="H626" s="2"/>
      <c r="I626" s="2"/>
      <c r="J626" s="2"/>
      <c r="K626" s="2"/>
    </row>
    <row r="627" spans="2:11">
      <c r="B627" s="1"/>
      <c r="C627" s="2"/>
      <c r="D627" s="2"/>
      <c r="E627" s="2"/>
      <c r="F627" s="2"/>
      <c r="G627" s="2"/>
      <c r="H627" s="2"/>
      <c r="I627" s="2"/>
      <c r="J627" s="2"/>
      <c r="K627" s="2"/>
    </row>
    <row r="628" spans="2:11">
      <c r="B628" s="1"/>
      <c r="C628" s="2"/>
      <c r="D628" s="2"/>
      <c r="E628" s="2"/>
      <c r="F628" s="2"/>
      <c r="G628" s="2"/>
      <c r="H628" s="2"/>
      <c r="I628" s="2"/>
      <c r="J628" s="2"/>
      <c r="K628" s="2"/>
    </row>
    <row r="629" spans="2:11">
      <c r="B629" s="1"/>
      <c r="C629" s="2"/>
      <c r="D629" s="2"/>
      <c r="E629" s="2"/>
      <c r="F629" s="2"/>
      <c r="G629" s="2"/>
      <c r="H629" s="2"/>
      <c r="I629" s="2"/>
      <c r="J629" s="2"/>
      <c r="K629" s="2"/>
    </row>
    <row r="630" spans="2:11">
      <c r="B630" s="1"/>
      <c r="C630" s="2"/>
      <c r="D630" s="2"/>
      <c r="E630" s="2"/>
      <c r="F630" s="2"/>
      <c r="G630" s="2"/>
      <c r="H630" s="2"/>
      <c r="I630" s="2"/>
      <c r="J630" s="2"/>
      <c r="K630" s="2"/>
    </row>
    <row r="631" spans="2:11">
      <c r="B631" s="1"/>
      <c r="C631" s="2"/>
      <c r="D631" s="2"/>
      <c r="E631" s="2"/>
      <c r="F631" s="2"/>
      <c r="G631" s="2"/>
      <c r="H631" s="2"/>
      <c r="I631" s="2"/>
      <c r="J631" s="2"/>
      <c r="K631" s="2"/>
    </row>
    <row r="632" spans="2:11">
      <c r="B632" s="1"/>
      <c r="C632" s="2"/>
      <c r="D632" s="2"/>
      <c r="E632" s="2"/>
      <c r="F632" s="2"/>
      <c r="G632" s="2"/>
      <c r="H632" s="2"/>
      <c r="I632" s="2"/>
      <c r="J632" s="2"/>
      <c r="K632" s="2"/>
    </row>
    <row r="633" spans="2:11">
      <c r="B633" s="1"/>
      <c r="C633" s="2"/>
      <c r="D633" s="2"/>
      <c r="E633" s="2"/>
      <c r="F633" s="2"/>
      <c r="G633" s="2"/>
      <c r="H633" s="2"/>
      <c r="I633" s="2"/>
      <c r="J633" s="2"/>
      <c r="K633" s="2"/>
    </row>
    <row r="634" spans="2:11">
      <c r="B634" s="1"/>
      <c r="C634" s="2"/>
      <c r="D634" s="2"/>
      <c r="E634" s="2"/>
      <c r="F634" s="2"/>
      <c r="G634" s="2"/>
      <c r="H634" s="2"/>
      <c r="I634" s="2"/>
      <c r="J634" s="2"/>
      <c r="K634" s="2"/>
    </row>
    <row r="637" spans="2:11" ht="18.75" customHeight="1">
      <c r="B637" s="740" t="s">
        <v>874</v>
      </c>
      <c r="C637" s="740"/>
      <c r="D637" s="740"/>
      <c r="E637" s="740"/>
      <c r="F637" s="740"/>
      <c r="G637" s="740"/>
      <c r="H637" s="740"/>
      <c r="I637" s="740"/>
      <c r="J637" s="740"/>
      <c r="K637" s="740"/>
    </row>
    <row r="638" spans="2:11">
      <c r="B638" s="65"/>
      <c r="C638" s="3"/>
      <c r="D638" s="2"/>
      <c r="E638" s="2"/>
      <c r="F638" s="2"/>
      <c r="G638" s="2"/>
      <c r="H638" s="2"/>
      <c r="I638" s="2"/>
      <c r="J638" s="2"/>
      <c r="K638" s="2"/>
    </row>
    <row r="639" spans="2:11" ht="12.75" customHeight="1">
      <c r="B639" s="731" t="s">
        <v>1291</v>
      </c>
      <c r="C639" s="731"/>
      <c r="D639" s="731"/>
      <c r="E639" s="731"/>
      <c r="F639" s="731"/>
      <c r="G639" s="731"/>
      <c r="H639" s="731"/>
      <c r="I639" s="731"/>
      <c r="J639" s="731"/>
      <c r="K639" s="731"/>
    </row>
    <row r="640" spans="2:11" ht="12.75" customHeight="1">
      <c r="B640" s="731"/>
      <c r="C640" s="731"/>
      <c r="D640" s="731"/>
      <c r="E640" s="731"/>
      <c r="F640" s="731"/>
      <c r="G640" s="731"/>
      <c r="H640" s="731"/>
      <c r="I640" s="731"/>
      <c r="J640" s="731"/>
      <c r="K640" s="731"/>
    </row>
    <row r="641" spans="2:12" ht="12.75" customHeight="1">
      <c r="B641" s="731"/>
      <c r="C641" s="731"/>
      <c r="D641" s="731"/>
      <c r="E641" s="731"/>
      <c r="F641" s="731"/>
      <c r="G641" s="731"/>
      <c r="H641" s="731"/>
      <c r="I641" s="731"/>
      <c r="J641" s="731"/>
      <c r="K641" s="731"/>
    </row>
    <row r="642" spans="2:12" ht="7.5" customHeight="1">
      <c r="B642" s="563"/>
      <c r="C642" s="22"/>
      <c r="D642" s="22"/>
      <c r="E642" s="22"/>
      <c r="F642" s="22"/>
      <c r="G642" s="22"/>
      <c r="H642" s="2"/>
      <c r="I642" s="2"/>
      <c r="J642" s="2"/>
      <c r="K642" s="2"/>
    </row>
    <row r="643" spans="2:12">
      <c r="B643" s="5"/>
      <c r="C643" s="65"/>
      <c r="D643" s="66"/>
      <c r="E643" s="65" t="s">
        <v>270</v>
      </c>
      <c r="F643" s="1"/>
      <c r="G643" s="1"/>
      <c r="H643" s="1"/>
      <c r="I643" s="1"/>
      <c r="J643" s="1"/>
      <c r="K643" s="1"/>
    </row>
    <row r="644" spans="2:12">
      <c r="B644" s="66"/>
      <c r="C644" s="65" t="s">
        <v>257</v>
      </c>
      <c r="D644" s="49" t="s">
        <v>258</v>
      </c>
      <c r="E644" s="66" t="s">
        <v>832</v>
      </c>
      <c r="F644" s="66" t="s">
        <v>270</v>
      </c>
      <c r="G644" s="66" t="s">
        <v>271</v>
      </c>
      <c r="H644" s="66" t="s">
        <v>272</v>
      </c>
      <c r="I644" s="66" t="s">
        <v>996</v>
      </c>
      <c r="J644" s="66" t="s">
        <v>1101</v>
      </c>
      <c r="K644" s="66" t="s">
        <v>1136</v>
      </c>
    </row>
    <row r="645" spans="2:12" ht="15.75" thickBot="1">
      <c r="B645" s="169"/>
      <c r="C645" s="68" t="s">
        <v>1</v>
      </c>
      <c r="D645" s="68" t="s">
        <v>1</v>
      </c>
      <c r="E645" s="68" t="s">
        <v>787</v>
      </c>
      <c r="F645" s="68" t="s">
        <v>19</v>
      </c>
      <c r="G645" s="68" t="s">
        <v>832</v>
      </c>
      <c r="H645" s="68" t="s">
        <v>19</v>
      </c>
      <c r="I645" s="68" t="s">
        <v>19</v>
      </c>
      <c r="J645" s="68" t="s">
        <v>19</v>
      </c>
      <c r="K645" s="68" t="s">
        <v>19</v>
      </c>
    </row>
    <row r="646" spans="2:12">
      <c r="B646" s="64"/>
      <c r="C646" s="170"/>
      <c r="D646" s="2"/>
      <c r="E646" s="2"/>
      <c r="F646" s="2"/>
      <c r="G646" s="2"/>
      <c r="H646" s="2"/>
      <c r="I646" s="2"/>
      <c r="J646" s="2"/>
      <c r="K646" s="2"/>
    </row>
    <row r="647" spans="2:12">
      <c r="B647" s="158" t="s">
        <v>833</v>
      </c>
      <c r="C647" s="2"/>
      <c r="D647" s="2"/>
      <c r="E647" s="2"/>
      <c r="F647" s="2"/>
      <c r="G647" s="2"/>
      <c r="H647" s="2"/>
      <c r="I647" s="2"/>
      <c r="J647" s="2"/>
      <c r="K647" s="2"/>
    </row>
    <row r="648" spans="2:12" ht="20.100000000000001" customHeight="1">
      <c r="B648" s="507" t="s">
        <v>838</v>
      </c>
      <c r="C648" s="2">
        <f>SUM('Budget Detail FY 2013-20'!L880:L886)</f>
        <v>493619</v>
      </c>
      <c r="D648" s="2">
        <f>SUM('Budget Detail FY 2013-20'!M880:M886)</f>
        <v>44891</v>
      </c>
      <c r="E648" s="2">
        <f>SUM('Budget Detail FY 2013-20'!N880:N886)</f>
        <v>0</v>
      </c>
      <c r="F648" s="2">
        <f>SUM('Budget Detail FY 2013-20'!O880:O886)</f>
        <v>0</v>
      </c>
      <c r="G648" s="2">
        <f>SUM('Budget Detail FY 2013-20'!P880:P886)</f>
        <v>0</v>
      </c>
      <c r="H648" s="2">
        <f>SUM('Budget Detail FY 2013-20'!Q880:Q886)</f>
        <v>0</v>
      </c>
      <c r="I648" s="2">
        <f>SUM('Budget Detail FY 2013-20'!R880:R886)</f>
        <v>0</v>
      </c>
      <c r="J648" s="2">
        <f>SUM('Budget Detail FY 2013-20'!S880:S886)</f>
        <v>0</v>
      </c>
      <c r="K648" s="2">
        <f>SUM('Budget Detail FY 2013-20'!T880:T886)</f>
        <v>0</v>
      </c>
    </row>
    <row r="649" spans="2:12" ht="20.100000000000001" customHeight="1">
      <c r="B649" s="507" t="s">
        <v>841</v>
      </c>
      <c r="C649" s="2">
        <f>SUM('Budget Detail FY 2013-20'!L887:L889)</f>
        <v>17467</v>
      </c>
      <c r="D649" s="2">
        <f>SUM('Budget Detail FY 2013-20'!M887:M889)</f>
        <v>572</v>
      </c>
      <c r="E649" s="2">
        <f>SUM('Budget Detail FY 2013-20'!N887:N889)</f>
        <v>0</v>
      </c>
      <c r="F649" s="2">
        <f>SUM('Budget Detail FY 2013-20'!O887:O889)</f>
        <v>0</v>
      </c>
      <c r="G649" s="2">
        <f>SUM('Budget Detail FY 2013-20'!P887:P889)</f>
        <v>0</v>
      </c>
      <c r="H649" s="2">
        <f>SUM('Budget Detail FY 2013-20'!Q887:Q889)</f>
        <v>0</v>
      </c>
      <c r="I649" s="2">
        <f>SUM('Budget Detail FY 2013-20'!R887:R889)</f>
        <v>0</v>
      </c>
      <c r="J649" s="2">
        <f>SUM('Budget Detail FY 2013-20'!S887:S889)</f>
        <v>0</v>
      </c>
      <c r="K649" s="2">
        <f>SUM('Budget Detail FY 2013-20'!T887:T889)</f>
        <v>0</v>
      </c>
    </row>
    <row r="650" spans="2:12" ht="20.100000000000001" customHeight="1">
      <c r="B650" s="507" t="s">
        <v>842</v>
      </c>
      <c r="C650" s="2">
        <f>'Budget Detail FY 2013-20'!L890</f>
        <v>0</v>
      </c>
      <c r="D650" s="2">
        <f>'Budget Detail FY 2013-20'!M890</f>
        <v>489043</v>
      </c>
      <c r="E650" s="2">
        <f>'Budget Detail FY 2013-20'!N890</f>
        <v>0</v>
      </c>
      <c r="F650" s="2">
        <f>'Budget Detail FY 2013-20'!O890</f>
        <v>0</v>
      </c>
      <c r="G650" s="2">
        <f>'Budget Detail FY 2013-20'!P890</f>
        <v>0</v>
      </c>
      <c r="H650" s="2">
        <f>'Budget Detail FY 2013-20'!Q890</f>
        <v>0</v>
      </c>
      <c r="I650" s="2">
        <f>'Budget Detail FY 2013-20'!R890</f>
        <v>0</v>
      </c>
      <c r="J650" s="2">
        <f>'Budget Detail FY 2013-20'!S890</f>
        <v>0</v>
      </c>
      <c r="K650" s="2">
        <f>'Budget Detail FY 2013-20'!T890</f>
        <v>0</v>
      </c>
    </row>
    <row r="651" spans="2:12" ht="20.100000000000001" customHeight="1" thickBot="1">
      <c r="B651" s="153" t="s">
        <v>843</v>
      </c>
      <c r="C651" s="150">
        <f>SUM(C648:C650)</f>
        <v>511086</v>
      </c>
      <c r="D651" s="150">
        <f t="shared" ref="D651:K651" si="101">SUM(D648:D650)</f>
        <v>534506</v>
      </c>
      <c r="E651" s="150">
        <f t="shared" si="101"/>
        <v>0</v>
      </c>
      <c r="F651" s="150">
        <f t="shared" si="101"/>
        <v>0</v>
      </c>
      <c r="G651" s="150">
        <f t="shared" si="101"/>
        <v>0</v>
      </c>
      <c r="H651" s="150">
        <f t="shared" si="101"/>
        <v>0</v>
      </c>
      <c r="I651" s="150">
        <f t="shared" si="101"/>
        <v>0</v>
      </c>
      <c r="J651" s="150">
        <f t="shared" si="101"/>
        <v>0</v>
      </c>
      <c r="K651" s="150">
        <f t="shared" si="101"/>
        <v>0</v>
      </c>
    </row>
    <row r="652" spans="2:12" s="569" customFormat="1" ht="15" hidden="1" customHeight="1">
      <c r="B652" s="155"/>
      <c r="C652" s="132">
        <f>'Budget Detail FY 2013-20'!L892</f>
        <v>511086</v>
      </c>
      <c r="D652" s="132">
        <f>'Budget Detail FY 2013-20'!M892</f>
        <v>534506</v>
      </c>
      <c r="E652" s="132">
        <f>'Budget Detail FY 2013-20'!N892</f>
        <v>0</v>
      </c>
      <c r="F652" s="132">
        <f>'Budget Detail FY 2013-20'!O892</f>
        <v>0</v>
      </c>
      <c r="G652" s="132">
        <f>'Budget Detail FY 2013-20'!P892</f>
        <v>0</v>
      </c>
      <c r="H652" s="132">
        <f>'Budget Detail FY 2013-20'!Q892</f>
        <v>0</v>
      </c>
      <c r="I652" s="132">
        <f>'Budget Detail FY 2013-20'!R892</f>
        <v>0</v>
      </c>
      <c r="J652" s="132">
        <f>'Budget Detail FY 2013-20'!S892</f>
        <v>0</v>
      </c>
      <c r="K652" s="132">
        <f>'Budget Detail FY 2013-20'!T892</f>
        <v>0</v>
      </c>
      <c r="L652" s="571" t="s">
        <v>1150</v>
      </c>
    </row>
    <row r="653" spans="2:12" s="570" customFormat="1" ht="14.25" hidden="1" customHeight="1">
      <c r="B653" s="157"/>
      <c r="C653" s="133">
        <f>C651-C652</f>
        <v>0</v>
      </c>
      <c r="D653" s="133">
        <f t="shared" ref="D653:K653" si="102">D651-D652</f>
        <v>0</v>
      </c>
      <c r="E653" s="133">
        <f t="shared" si="102"/>
        <v>0</v>
      </c>
      <c r="F653" s="133">
        <f t="shared" si="102"/>
        <v>0</v>
      </c>
      <c r="G653" s="133">
        <f t="shared" si="102"/>
        <v>0</v>
      </c>
      <c r="H653" s="133">
        <f t="shared" si="102"/>
        <v>0</v>
      </c>
      <c r="I653" s="133">
        <f t="shared" si="102"/>
        <v>0</v>
      </c>
      <c r="J653" s="133">
        <f t="shared" si="102"/>
        <v>0</v>
      </c>
      <c r="K653" s="133">
        <f t="shared" si="102"/>
        <v>0</v>
      </c>
      <c r="L653" s="571" t="s">
        <v>1151</v>
      </c>
    </row>
    <row r="654" spans="2:12">
      <c r="B654" s="1"/>
      <c r="C654" s="2"/>
      <c r="D654" s="2"/>
      <c r="E654" s="2"/>
      <c r="F654" s="2"/>
      <c r="G654" s="2"/>
      <c r="H654" s="2"/>
      <c r="I654" s="2"/>
      <c r="J654" s="2"/>
      <c r="K654" s="2"/>
    </row>
    <row r="655" spans="2:12">
      <c r="B655" s="158" t="s">
        <v>600</v>
      </c>
      <c r="C655" s="2"/>
      <c r="D655" s="2"/>
      <c r="E655" s="2"/>
      <c r="F655" s="2"/>
      <c r="G655" s="2"/>
      <c r="H655" s="2"/>
      <c r="I655" s="2"/>
      <c r="J655" s="2"/>
      <c r="K655" s="2"/>
    </row>
    <row r="656" spans="2:12" ht="20.100000000000001" customHeight="1">
      <c r="B656" s="508" t="s">
        <v>844</v>
      </c>
      <c r="C656" s="2">
        <f>SUM('Budget Detail FY 2013-20'!L895:L898)</f>
        <v>169838</v>
      </c>
      <c r="D656" s="2">
        <f>SUM('Budget Detail FY 2013-20'!M895:M898)</f>
        <v>19795</v>
      </c>
      <c r="E656" s="2">
        <f>SUM('Budget Detail FY 2013-20'!N895:N898)</f>
        <v>0</v>
      </c>
      <c r="F656" s="2">
        <f>SUM('Budget Detail FY 2013-20'!O895:O898)</f>
        <v>0</v>
      </c>
      <c r="G656" s="2">
        <f>SUM('Budget Detail FY 2013-20'!P895:P898)</f>
        <v>0</v>
      </c>
      <c r="H656" s="2">
        <f>SUM('Budget Detail FY 2013-20'!Q895:Q898)</f>
        <v>0</v>
      </c>
      <c r="I656" s="2">
        <f>SUM('Budget Detail FY 2013-20'!R895:R898)</f>
        <v>0</v>
      </c>
      <c r="J656" s="2">
        <f>SUM('Budget Detail FY 2013-20'!S895:S898)</f>
        <v>0</v>
      </c>
      <c r="K656" s="2">
        <f>SUM('Budget Detail FY 2013-20'!T895:T898)</f>
        <v>0</v>
      </c>
    </row>
    <row r="657" spans="2:12" ht="20.100000000000001" customHeight="1">
      <c r="B657" s="508" t="s">
        <v>845</v>
      </c>
      <c r="C657" s="2">
        <f>SUM('Budget Detail FY 2013-20'!L899:L902)</f>
        <v>23718</v>
      </c>
      <c r="D657" s="2">
        <f>SUM('Budget Detail FY 2013-20'!M899:M902)</f>
        <v>2148</v>
      </c>
      <c r="E657" s="2">
        <f>SUM('Budget Detail FY 2013-20'!N899:N902)</f>
        <v>0</v>
      </c>
      <c r="F657" s="2">
        <f>SUM('Budget Detail FY 2013-20'!O899:O902)</f>
        <v>0</v>
      </c>
      <c r="G657" s="2">
        <f>SUM('Budget Detail FY 2013-20'!P899:P902)</f>
        <v>0</v>
      </c>
      <c r="H657" s="2">
        <f>SUM('Budget Detail FY 2013-20'!Q899:Q902)</f>
        <v>0</v>
      </c>
      <c r="I657" s="2">
        <f>SUM('Budget Detail FY 2013-20'!R899:R902)</f>
        <v>0</v>
      </c>
      <c r="J657" s="2">
        <f>SUM('Budget Detail FY 2013-20'!S899:S902)</f>
        <v>0</v>
      </c>
      <c r="K657" s="2">
        <f>SUM('Budget Detail FY 2013-20'!T899:T902)</f>
        <v>0</v>
      </c>
    </row>
    <row r="658" spans="2:12" ht="20.100000000000001" customHeight="1">
      <c r="B658" s="508" t="s">
        <v>846</v>
      </c>
      <c r="C658" s="2">
        <f>SUM('Budget Detail FY 2013-20'!L903:L909)</f>
        <v>360432</v>
      </c>
      <c r="D658" s="2">
        <f>SUM('Budget Detail FY 2013-20'!M903:M909)</f>
        <v>208635</v>
      </c>
      <c r="E658" s="2">
        <f>SUM('Budget Detail FY 2013-20'!N903:N909)</f>
        <v>0</v>
      </c>
      <c r="F658" s="2">
        <f>SUM('Budget Detail FY 2013-20'!O903:O909)</f>
        <v>0</v>
      </c>
      <c r="G658" s="2">
        <f>SUM('Budget Detail FY 2013-20'!P903:P909)</f>
        <v>0</v>
      </c>
      <c r="H658" s="2">
        <f>SUM('Budget Detail FY 2013-20'!Q903:Q909)</f>
        <v>0</v>
      </c>
      <c r="I658" s="2">
        <f>SUM('Budget Detail FY 2013-20'!R903:R909)</f>
        <v>0</v>
      </c>
      <c r="J658" s="2">
        <f>SUM('Budget Detail FY 2013-20'!S903:S909)</f>
        <v>0</v>
      </c>
      <c r="K658" s="2">
        <f>SUM('Budget Detail FY 2013-20'!T903:T909)</f>
        <v>0</v>
      </c>
    </row>
    <row r="659" spans="2:12" ht="20.100000000000001" customHeight="1">
      <c r="B659" s="508" t="s">
        <v>847</v>
      </c>
      <c r="C659" s="2">
        <f>SUM('Budget Detail FY 2013-20'!L910:L916)</f>
        <v>37516</v>
      </c>
      <c r="D659" s="2">
        <f>SUM('Budget Detail FY 2013-20'!M910:M916)</f>
        <v>3508</v>
      </c>
      <c r="E659" s="2">
        <f>SUM('Budget Detail FY 2013-20'!N910:N916)</f>
        <v>0</v>
      </c>
      <c r="F659" s="2">
        <f>SUM('Budget Detail FY 2013-20'!O910:O916)</f>
        <v>0</v>
      </c>
      <c r="G659" s="2">
        <f>SUM('Budget Detail FY 2013-20'!P910:P916)</f>
        <v>0</v>
      </c>
      <c r="H659" s="2">
        <f>SUM('Budget Detail FY 2013-20'!Q910:Q916)</f>
        <v>0</v>
      </c>
      <c r="I659" s="2">
        <f>SUM('Budget Detail FY 2013-20'!R910:R916)</f>
        <v>0</v>
      </c>
      <c r="J659" s="2">
        <f>SUM('Budget Detail FY 2013-20'!S910:S916)</f>
        <v>0</v>
      </c>
      <c r="K659" s="2">
        <f>SUM('Budget Detail FY 2013-20'!T910:T916)</f>
        <v>0</v>
      </c>
    </row>
    <row r="660" spans="2:12" ht="20.100000000000001" customHeight="1" thickBot="1">
      <c r="B660" s="153" t="s">
        <v>865</v>
      </c>
      <c r="C660" s="150">
        <f t="shared" ref="C660:J660" si="103">SUM(C656:C659)</f>
        <v>591504</v>
      </c>
      <c r="D660" s="150">
        <f>SUM(D656:D659)</f>
        <v>234086</v>
      </c>
      <c r="E660" s="150">
        <f t="shared" si="103"/>
        <v>0</v>
      </c>
      <c r="F660" s="150">
        <f t="shared" si="103"/>
        <v>0</v>
      </c>
      <c r="G660" s="150">
        <f t="shared" si="103"/>
        <v>0</v>
      </c>
      <c r="H660" s="150">
        <f t="shared" si="103"/>
        <v>0</v>
      </c>
      <c r="I660" s="150">
        <f t="shared" si="103"/>
        <v>0</v>
      </c>
      <c r="J660" s="150">
        <f t="shared" si="103"/>
        <v>0</v>
      </c>
      <c r="K660" s="150">
        <f>SUM(K656:K659)</f>
        <v>0</v>
      </c>
    </row>
    <row r="661" spans="2:12" s="569" customFormat="1" hidden="1">
      <c r="B661" s="155"/>
      <c r="C661" s="132">
        <f>'Budget Detail FY 2013-20'!L918</f>
        <v>591504</v>
      </c>
      <c r="D661" s="132">
        <f>'Budget Detail FY 2013-20'!M918</f>
        <v>234086</v>
      </c>
      <c r="E661" s="132">
        <f>'Budget Detail FY 2013-20'!N918</f>
        <v>0</v>
      </c>
      <c r="F661" s="132">
        <f>'Budget Detail FY 2013-20'!O918</f>
        <v>0</v>
      </c>
      <c r="G661" s="132">
        <f>'Budget Detail FY 2013-20'!P918</f>
        <v>0</v>
      </c>
      <c r="H661" s="132">
        <f>'Budget Detail FY 2013-20'!Q918</f>
        <v>0</v>
      </c>
      <c r="I661" s="132">
        <f>'Budget Detail FY 2013-20'!R918</f>
        <v>0</v>
      </c>
      <c r="J661" s="132">
        <f>'Budget Detail FY 2013-20'!S918</f>
        <v>0</v>
      </c>
      <c r="K661" s="132">
        <f>'Budget Detail FY 2013-20'!T918</f>
        <v>0</v>
      </c>
      <c r="L661" s="571" t="s">
        <v>1150</v>
      </c>
    </row>
    <row r="662" spans="2:12" s="570" customFormat="1" hidden="1">
      <c r="B662" s="157"/>
      <c r="C662" s="163">
        <f>C660-C661</f>
        <v>0</v>
      </c>
      <c r="D662" s="163">
        <f t="shared" ref="D662:K662" si="104">D660-D661</f>
        <v>0</v>
      </c>
      <c r="E662" s="163">
        <f t="shared" si="104"/>
        <v>0</v>
      </c>
      <c r="F662" s="163">
        <f t="shared" si="104"/>
        <v>0</v>
      </c>
      <c r="G662" s="163">
        <f t="shared" si="104"/>
        <v>0</v>
      </c>
      <c r="H662" s="163">
        <f t="shared" si="104"/>
        <v>0</v>
      </c>
      <c r="I662" s="163">
        <f t="shared" si="104"/>
        <v>0</v>
      </c>
      <c r="J662" s="163">
        <f t="shared" si="104"/>
        <v>0</v>
      </c>
      <c r="K662" s="163">
        <f t="shared" si="104"/>
        <v>0</v>
      </c>
      <c r="L662" s="571" t="s">
        <v>1151</v>
      </c>
    </row>
    <row r="663" spans="2:12" ht="7.5" customHeight="1">
      <c r="B663" s="160"/>
      <c r="C663" s="3"/>
      <c r="D663" s="2"/>
      <c r="E663" s="2"/>
      <c r="F663" s="2"/>
      <c r="G663" s="2"/>
      <c r="H663" s="2"/>
      <c r="I663" s="2"/>
      <c r="J663" s="2"/>
      <c r="K663" s="2"/>
    </row>
    <row r="664" spans="2:12" ht="20.100000000000001" customHeight="1">
      <c r="B664" s="510" t="s">
        <v>852</v>
      </c>
      <c r="C664" s="3">
        <f t="shared" ref="C664:J664" si="105">+C651-C660</f>
        <v>-80418</v>
      </c>
      <c r="D664" s="3">
        <f>+D651-D660</f>
        <v>300420</v>
      </c>
      <c r="E664" s="3">
        <f t="shared" si="105"/>
        <v>0</v>
      </c>
      <c r="F664" s="3">
        <f t="shared" si="105"/>
        <v>0</v>
      </c>
      <c r="G664" s="3">
        <f t="shared" si="105"/>
        <v>0</v>
      </c>
      <c r="H664" s="3">
        <f t="shared" si="105"/>
        <v>0</v>
      </c>
      <c r="I664" s="3">
        <f t="shared" si="105"/>
        <v>0</v>
      </c>
      <c r="J664" s="3">
        <f t="shared" si="105"/>
        <v>0</v>
      </c>
      <c r="K664" s="3">
        <f>+K651-K660</f>
        <v>0</v>
      </c>
    </row>
    <row r="665" spans="2:12" s="569" customFormat="1" hidden="1">
      <c r="B665" s="161"/>
      <c r="C665" s="132">
        <f>'Budget Detail FY 2013-20'!L920</f>
        <v>-80418</v>
      </c>
      <c r="D665" s="132">
        <f>'Budget Detail FY 2013-20'!M920</f>
        <v>300420</v>
      </c>
      <c r="E665" s="132">
        <f>'Budget Detail FY 2013-20'!N920</f>
        <v>0</v>
      </c>
      <c r="F665" s="132">
        <f>'Budget Detail FY 2013-20'!O920</f>
        <v>0</v>
      </c>
      <c r="G665" s="132">
        <f>'Budget Detail FY 2013-20'!P920</f>
        <v>0</v>
      </c>
      <c r="H665" s="132">
        <f>'Budget Detail FY 2013-20'!Q920</f>
        <v>0</v>
      </c>
      <c r="I665" s="132">
        <f>'Budget Detail FY 2013-20'!R920</f>
        <v>0</v>
      </c>
      <c r="J665" s="132">
        <f>'Budget Detail FY 2013-20'!S920</f>
        <v>0</v>
      </c>
      <c r="K665" s="132">
        <f>'Budget Detail FY 2013-20'!T920</f>
        <v>0</v>
      </c>
      <c r="L665" s="571" t="s">
        <v>1150</v>
      </c>
    </row>
    <row r="666" spans="2:12" s="570" customFormat="1" hidden="1">
      <c r="B666" s="162"/>
      <c r="C666" s="163">
        <f>C664-C665</f>
        <v>0</v>
      </c>
      <c r="D666" s="163">
        <f t="shared" ref="D666:K666" si="106">D664-D665</f>
        <v>0</v>
      </c>
      <c r="E666" s="163">
        <f t="shared" si="106"/>
        <v>0</v>
      </c>
      <c r="F666" s="163">
        <f t="shared" si="106"/>
        <v>0</v>
      </c>
      <c r="G666" s="163">
        <f t="shared" si="106"/>
        <v>0</v>
      </c>
      <c r="H666" s="163">
        <f t="shared" si="106"/>
        <v>0</v>
      </c>
      <c r="I666" s="163">
        <f t="shared" si="106"/>
        <v>0</v>
      </c>
      <c r="J666" s="163">
        <f t="shared" si="106"/>
        <v>0</v>
      </c>
      <c r="K666" s="163">
        <f t="shared" si="106"/>
        <v>0</v>
      </c>
      <c r="L666" s="571" t="s">
        <v>1151</v>
      </c>
    </row>
    <row r="667" spans="2:12" ht="7.5" customHeight="1">
      <c r="B667" s="164"/>
      <c r="C667" s="3"/>
      <c r="D667" s="2"/>
      <c r="E667" s="2"/>
      <c r="F667" s="2"/>
      <c r="G667" s="2"/>
      <c r="H667" s="2"/>
      <c r="I667" s="2"/>
      <c r="J667" s="2"/>
      <c r="K667" s="2"/>
    </row>
    <row r="668" spans="2:12" ht="20.100000000000001" customHeight="1" thickBot="1">
      <c r="B668" s="152" t="s">
        <v>866</v>
      </c>
      <c r="C668" s="83">
        <v>-300420</v>
      </c>
      <c r="D668" s="83">
        <v>0</v>
      </c>
      <c r="E668" s="83">
        <v>0</v>
      </c>
      <c r="F668" s="83">
        <v>0</v>
      </c>
      <c r="G668" s="83">
        <f>F668+G664</f>
        <v>0</v>
      </c>
      <c r="H668" s="83">
        <f>G668+H664</f>
        <v>0</v>
      </c>
      <c r="I668" s="83">
        <f>H668+I664</f>
        <v>0</v>
      </c>
      <c r="J668" s="83">
        <f>I668+J664</f>
        <v>0</v>
      </c>
      <c r="K668" s="83">
        <f>J668+K664</f>
        <v>0</v>
      </c>
    </row>
    <row r="669" spans="2:12" s="569" customFormat="1" ht="15.75" hidden="1" thickTop="1">
      <c r="B669" s="155"/>
      <c r="C669" s="132">
        <f>'Budget Detail FY 2013-20'!L922</f>
        <v>-300420</v>
      </c>
      <c r="D669" s="132">
        <f>'Budget Detail FY 2013-20'!M922</f>
        <v>0</v>
      </c>
      <c r="E669" s="132">
        <f>'Budget Detail FY 2013-20'!N922</f>
        <v>0</v>
      </c>
      <c r="F669" s="132">
        <f>'Budget Detail FY 2013-20'!O922</f>
        <v>0</v>
      </c>
      <c r="G669" s="132">
        <f>'Budget Detail FY 2013-20'!P922</f>
        <v>0</v>
      </c>
      <c r="H669" s="132">
        <f>'Budget Detail FY 2013-20'!Q922</f>
        <v>0</v>
      </c>
      <c r="I669" s="132">
        <f>'Budget Detail FY 2013-20'!R922</f>
        <v>0</v>
      </c>
      <c r="J669" s="132">
        <f>'Budget Detail FY 2013-20'!S922</f>
        <v>0</v>
      </c>
      <c r="K669" s="132">
        <f>'Budget Detail FY 2013-20'!T922</f>
        <v>0</v>
      </c>
      <c r="L669" s="571" t="s">
        <v>1150</v>
      </c>
    </row>
    <row r="670" spans="2:12" s="570" customFormat="1" hidden="1">
      <c r="B670" s="157"/>
      <c r="C670" s="163">
        <f>C668-C669</f>
        <v>0</v>
      </c>
      <c r="D670" s="163">
        <f t="shared" ref="D670:K670" si="107">D668-D669</f>
        <v>0</v>
      </c>
      <c r="E670" s="163">
        <f t="shared" si="107"/>
        <v>0</v>
      </c>
      <c r="F670" s="163">
        <f t="shared" si="107"/>
        <v>0</v>
      </c>
      <c r="G670" s="163">
        <f t="shared" si="107"/>
        <v>0</v>
      </c>
      <c r="H670" s="163">
        <f t="shared" si="107"/>
        <v>0</v>
      </c>
      <c r="I670" s="163">
        <f t="shared" si="107"/>
        <v>0</v>
      </c>
      <c r="J670" s="163">
        <f t="shared" si="107"/>
        <v>0</v>
      </c>
      <c r="K670" s="163">
        <f t="shared" si="107"/>
        <v>0</v>
      </c>
      <c r="L670" s="571" t="s">
        <v>1151</v>
      </c>
    </row>
    <row r="671" spans="2:12" ht="15.75" thickTop="1">
      <c r="B671" s="165"/>
      <c r="C671" s="166">
        <f>+C668/C660</f>
        <v>-0.50789174713949525</v>
      </c>
      <c r="D671" s="166"/>
      <c r="E671" s="166"/>
      <c r="F671" s="166"/>
      <c r="G671" s="372"/>
      <c r="H671" s="372"/>
      <c r="I671" s="372"/>
      <c r="J671" s="372"/>
      <c r="K671" s="372"/>
    </row>
    <row r="672" spans="2:12">
      <c r="B672" s="165"/>
      <c r="C672" s="166"/>
      <c r="D672" s="166"/>
      <c r="E672" s="166"/>
      <c r="F672" s="166"/>
      <c r="G672" s="372"/>
      <c r="H672" s="372"/>
      <c r="I672" s="372"/>
      <c r="J672" s="372"/>
      <c r="K672" s="372"/>
    </row>
    <row r="673" spans="2:11" ht="7.5" customHeight="1">
      <c r="B673" s="165"/>
      <c r="C673" s="2"/>
      <c r="D673" s="2"/>
      <c r="E673" s="2"/>
      <c r="F673" s="2"/>
      <c r="G673" s="2"/>
      <c r="H673" s="2"/>
      <c r="I673" s="2"/>
      <c r="J673" s="2"/>
      <c r="K673" s="2"/>
    </row>
    <row r="674" spans="2:11">
      <c r="B674" s="1"/>
      <c r="C674" s="2"/>
      <c r="D674" s="2"/>
      <c r="E674" s="2"/>
      <c r="F674" s="2"/>
      <c r="G674" s="2"/>
      <c r="H674" s="2"/>
      <c r="I674" s="2"/>
      <c r="J674" s="2"/>
      <c r="K674" s="2"/>
    </row>
    <row r="675" spans="2:11">
      <c r="B675" s="1"/>
      <c r="C675" s="2"/>
      <c r="D675" s="2"/>
      <c r="E675" s="2"/>
      <c r="F675" s="2"/>
      <c r="G675" s="2"/>
      <c r="H675" s="2"/>
      <c r="I675" s="2"/>
      <c r="J675" s="2"/>
      <c r="K675" s="2"/>
    </row>
    <row r="676" spans="2:11">
      <c r="B676" s="1"/>
      <c r="C676" s="2"/>
      <c r="D676" s="2"/>
      <c r="E676" s="2"/>
      <c r="F676" s="2"/>
      <c r="G676" s="2"/>
      <c r="H676" s="2"/>
      <c r="I676" s="2"/>
      <c r="J676" s="2"/>
      <c r="K676" s="2"/>
    </row>
    <row r="677" spans="2:11">
      <c r="B677" s="1"/>
      <c r="C677" s="2"/>
      <c r="D677" s="2"/>
      <c r="E677" s="2"/>
      <c r="F677" s="2"/>
      <c r="G677" s="2"/>
      <c r="H677" s="2"/>
      <c r="I677" s="2"/>
      <c r="J677" s="2"/>
      <c r="K677" s="2"/>
    </row>
    <row r="678" spans="2:11">
      <c r="B678" s="1"/>
      <c r="C678" s="2"/>
      <c r="D678" s="2"/>
      <c r="E678" s="2"/>
      <c r="F678" s="2"/>
      <c r="G678" s="2"/>
      <c r="H678" s="2"/>
      <c r="I678" s="2"/>
      <c r="J678" s="2"/>
      <c r="K678" s="2"/>
    </row>
    <row r="679" spans="2:11">
      <c r="B679" s="1"/>
      <c r="C679" s="2"/>
      <c r="D679" s="2"/>
      <c r="E679" s="2"/>
      <c r="F679" s="2"/>
      <c r="G679" s="2"/>
      <c r="H679" s="2"/>
      <c r="I679" s="2"/>
      <c r="J679" s="2"/>
      <c r="K679" s="2"/>
    </row>
    <row r="680" spans="2:11">
      <c r="B680" s="1"/>
      <c r="C680" s="2"/>
      <c r="D680" s="2"/>
      <c r="E680" s="2"/>
      <c r="F680" s="2"/>
      <c r="G680" s="2"/>
      <c r="H680" s="2"/>
      <c r="I680" s="2"/>
      <c r="J680" s="2"/>
      <c r="K680" s="2"/>
    </row>
    <row r="681" spans="2:11">
      <c r="B681" s="1"/>
      <c r="C681" s="2"/>
      <c r="D681" s="2"/>
      <c r="E681" s="2"/>
      <c r="F681" s="2"/>
      <c r="G681" s="2"/>
      <c r="H681" s="2"/>
      <c r="I681" s="2"/>
      <c r="J681" s="2"/>
      <c r="K681" s="2"/>
    </row>
    <row r="682" spans="2:11">
      <c r="B682" s="1"/>
      <c r="C682" s="2"/>
      <c r="D682" s="2"/>
      <c r="E682" s="2"/>
      <c r="F682" s="2"/>
      <c r="G682" s="2"/>
      <c r="H682" s="2"/>
      <c r="I682" s="2"/>
      <c r="J682" s="2"/>
      <c r="K682" s="2"/>
    </row>
    <row r="683" spans="2:11">
      <c r="B683" s="1"/>
      <c r="C683" s="2"/>
      <c r="D683" s="2"/>
      <c r="E683" s="2"/>
      <c r="F683" s="2"/>
      <c r="G683" s="2"/>
      <c r="H683" s="2"/>
      <c r="I683" s="2"/>
      <c r="J683" s="2"/>
      <c r="K683" s="2"/>
    </row>
    <row r="688" spans="2:11" ht="18.75" customHeight="1">
      <c r="B688" s="740" t="s">
        <v>875</v>
      </c>
      <c r="C688" s="740"/>
      <c r="D688" s="740"/>
      <c r="E688" s="740"/>
      <c r="F688" s="740"/>
      <c r="G688" s="740"/>
      <c r="H688" s="740"/>
      <c r="I688" s="740"/>
      <c r="J688" s="740"/>
      <c r="K688" s="740"/>
    </row>
    <row r="689" spans="2:11" ht="7.5" customHeight="1">
      <c r="B689" s="65"/>
      <c r="C689" s="3"/>
      <c r="D689" s="2"/>
      <c r="E689" s="2"/>
      <c r="F689" s="2"/>
      <c r="G689" s="2"/>
      <c r="H689" s="2"/>
      <c r="I689" s="2"/>
      <c r="J689" s="2"/>
      <c r="K689" s="2"/>
    </row>
    <row r="690" spans="2:11" ht="12.75" customHeight="1">
      <c r="B690" s="731" t="s">
        <v>876</v>
      </c>
      <c r="C690" s="731"/>
      <c r="D690" s="731"/>
      <c r="E690" s="731"/>
      <c r="F690" s="731"/>
      <c r="G690" s="731"/>
      <c r="H690" s="731"/>
      <c r="I690" s="731"/>
      <c r="J690" s="731"/>
      <c r="K690" s="731"/>
    </row>
    <row r="691" spans="2:11" ht="12.75" customHeight="1">
      <c r="B691" s="731"/>
      <c r="C691" s="731"/>
      <c r="D691" s="731"/>
      <c r="E691" s="731"/>
      <c r="F691" s="731"/>
      <c r="G691" s="731"/>
      <c r="H691" s="731"/>
      <c r="I691" s="731"/>
      <c r="J691" s="731"/>
      <c r="K691" s="731"/>
    </row>
    <row r="692" spans="2:11" ht="12.75" customHeight="1">
      <c r="B692" s="731"/>
      <c r="C692" s="731"/>
      <c r="D692" s="731"/>
      <c r="E692" s="731"/>
      <c r="F692" s="731"/>
      <c r="G692" s="731"/>
      <c r="H692" s="731"/>
      <c r="I692" s="731"/>
      <c r="J692" s="731"/>
      <c r="K692" s="731"/>
    </row>
    <row r="693" spans="2:11">
      <c r="B693" s="5"/>
      <c r="C693" s="65"/>
      <c r="D693" s="66"/>
      <c r="E693" s="65" t="s">
        <v>270</v>
      </c>
      <c r="F693" s="1"/>
      <c r="G693" s="1"/>
      <c r="H693" s="1"/>
      <c r="I693" s="1"/>
      <c r="J693" s="1"/>
      <c r="K693" s="1"/>
    </row>
    <row r="694" spans="2:11">
      <c r="B694" s="66"/>
      <c r="C694" s="65" t="s">
        <v>257</v>
      </c>
      <c r="D694" s="49" t="s">
        <v>258</v>
      </c>
      <c r="E694" s="66" t="s">
        <v>832</v>
      </c>
      <c r="F694" s="66" t="s">
        <v>270</v>
      </c>
      <c r="G694" s="66" t="s">
        <v>271</v>
      </c>
      <c r="H694" s="66" t="s">
        <v>272</v>
      </c>
      <c r="I694" s="66" t="s">
        <v>996</v>
      </c>
      <c r="J694" s="66" t="s">
        <v>1101</v>
      </c>
      <c r="K694" s="66" t="s">
        <v>1136</v>
      </c>
    </row>
    <row r="695" spans="2:11" ht="15.75" thickBot="1">
      <c r="B695" s="169"/>
      <c r="C695" s="68" t="s">
        <v>1</v>
      </c>
      <c r="D695" s="68" t="s">
        <v>1</v>
      </c>
      <c r="E695" s="68" t="s">
        <v>787</v>
      </c>
      <c r="F695" s="68" t="s">
        <v>19</v>
      </c>
      <c r="G695" s="68" t="s">
        <v>832</v>
      </c>
      <c r="H695" s="68" t="s">
        <v>19</v>
      </c>
      <c r="I695" s="68" t="s">
        <v>19</v>
      </c>
      <c r="J695" s="68" t="s">
        <v>19</v>
      </c>
      <c r="K695" s="68" t="s">
        <v>19</v>
      </c>
    </row>
    <row r="696" spans="2:11">
      <c r="B696" s="64"/>
      <c r="C696" s="170"/>
      <c r="D696" s="2"/>
      <c r="E696" s="2"/>
      <c r="F696" s="2"/>
      <c r="G696" s="2"/>
      <c r="H696" s="2"/>
      <c r="I696" s="2"/>
      <c r="J696" s="2"/>
      <c r="K696" s="2"/>
    </row>
    <row r="697" spans="2:11">
      <c r="B697" s="158" t="s">
        <v>833</v>
      </c>
      <c r="C697" s="2"/>
      <c r="D697" s="2"/>
      <c r="E697" s="2"/>
      <c r="F697" s="2"/>
      <c r="G697" s="2"/>
      <c r="H697" s="2"/>
      <c r="I697" s="2"/>
      <c r="J697" s="2"/>
      <c r="K697" s="2"/>
    </row>
    <row r="698" spans="2:11" ht="20.100000000000001" customHeight="1">
      <c r="B698" s="506" t="s">
        <v>834</v>
      </c>
      <c r="C698" s="2">
        <f>SUM('Budget Detail FY 2013-20'!L927:L927)</f>
        <v>691905</v>
      </c>
      <c r="D698" s="2">
        <f>SUM('Budget Detail FY 2013-20'!M927:M927)</f>
        <v>642838</v>
      </c>
      <c r="E698" s="2">
        <f>SUM('Budget Detail FY 2013-20'!N927:N927)</f>
        <v>646010</v>
      </c>
      <c r="F698" s="2">
        <f>SUM('Budget Detail FY 2013-20'!O927:O927)</f>
        <v>626950</v>
      </c>
      <c r="G698" s="2">
        <f>SUM('Budget Detail FY 2013-20'!P927:P927)</f>
        <v>635000</v>
      </c>
      <c r="H698" s="2">
        <f>SUM('Budget Detail FY 2013-20'!Q927:Q927)</f>
        <v>635000</v>
      </c>
      <c r="I698" s="2">
        <f>SUM('Budget Detail FY 2013-20'!R927:R927)</f>
        <v>640000</v>
      </c>
      <c r="J698" s="2">
        <f>SUM('Budget Detail FY 2013-20'!S927:S927)</f>
        <v>640000</v>
      </c>
      <c r="K698" s="2">
        <f>SUM('Budget Detail FY 2013-20'!T927:T927)</f>
        <v>645000</v>
      </c>
    </row>
    <row r="699" spans="2:11" ht="20.100000000000001" customHeight="1">
      <c r="B699" s="506" t="s">
        <v>835</v>
      </c>
      <c r="C699" s="2">
        <f>SUM('Budget Detail FY 2013-20'!L928:L929)</f>
        <v>24124</v>
      </c>
      <c r="D699" s="2">
        <f>SUM('Budget Detail FY 2013-20'!M928:M929)</f>
        <v>22914</v>
      </c>
      <c r="E699" s="2">
        <f>SUM('Budget Detail FY 2013-20'!N928:N929)</f>
        <v>22200</v>
      </c>
      <c r="F699" s="2">
        <f>SUM('Budget Detail FY 2013-20'!O928:O929)</f>
        <v>26401</v>
      </c>
      <c r="G699" s="2">
        <f>SUM('Budget Detail FY 2013-20'!P928:P929)</f>
        <v>22450</v>
      </c>
      <c r="H699" s="2">
        <f>SUM('Budget Detail FY 2013-20'!Q928:Q929)</f>
        <v>22450</v>
      </c>
      <c r="I699" s="2">
        <f>SUM('Budget Detail FY 2013-20'!R928:R929)</f>
        <v>22450</v>
      </c>
      <c r="J699" s="2">
        <f>SUM('Budget Detail FY 2013-20'!S928:S929)</f>
        <v>22450</v>
      </c>
      <c r="K699" s="2">
        <f>SUM('Budget Detail FY 2013-20'!T928:T929)</f>
        <v>22450</v>
      </c>
    </row>
    <row r="700" spans="2:11" ht="20.100000000000001" customHeight="1">
      <c r="B700" s="507" t="s">
        <v>837</v>
      </c>
      <c r="C700" s="2">
        <f>'Budget Detail FY 2013-20'!L930</f>
        <v>9404</v>
      </c>
      <c r="D700" s="2">
        <f>'Budget Detail FY 2013-20'!M930</f>
        <v>9680</v>
      </c>
      <c r="E700" s="2">
        <f>'Budget Detail FY 2013-20'!N930</f>
        <v>9300</v>
      </c>
      <c r="F700" s="2">
        <f>'Budget Detail FY 2013-20'!O930</f>
        <v>9300</v>
      </c>
      <c r="G700" s="2">
        <f>'Budget Detail FY 2013-20'!P930</f>
        <v>9300</v>
      </c>
      <c r="H700" s="2">
        <f>'Budget Detail FY 2013-20'!Q930</f>
        <v>9300</v>
      </c>
      <c r="I700" s="2">
        <f>'Budget Detail FY 2013-20'!R930</f>
        <v>9300</v>
      </c>
      <c r="J700" s="2">
        <f>'Budget Detail FY 2013-20'!S930</f>
        <v>9300</v>
      </c>
      <c r="K700" s="2">
        <f>'Budget Detail FY 2013-20'!T930</f>
        <v>9300</v>
      </c>
    </row>
    <row r="701" spans="2:11" ht="20.100000000000001" customHeight="1">
      <c r="B701" s="507" t="s">
        <v>838</v>
      </c>
      <c r="C701" s="2">
        <f>SUM('Budget Detail FY 2013-20'!L931:L933)</f>
        <v>14190</v>
      </c>
      <c r="D701" s="2">
        <f>SUM('Budget Detail FY 2013-20'!M931:M933)</f>
        <v>10707</v>
      </c>
      <c r="E701" s="2">
        <f>SUM('Budget Detail FY 2013-20'!N931:N933)</f>
        <v>14000</v>
      </c>
      <c r="F701" s="2">
        <f>SUM('Budget Detail FY 2013-20'!O931:O933)</f>
        <v>11500</v>
      </c>
      <c r="G701" s="2">
        <f>SUM('Budget Detail FY 2013-20'!P931:P933)</f>
        <v>11500</v>
      </c>
      <c r="H701" s="2">
        <f>SUM('Budget Detail FY 2013-20'!Q931:Q933)</f>
        <v>11500</v>
      </c>
      <c r="I701" s="2">
        <f>SUM('Budget Detail FY 2013-20'!R931:R933)</f>
        <v>11500</v>
      </c>
      <c r="J701" s="2">
        <f>SUM('Budget Detail FY 2013-20'!S931:S933)</f>
        <v>11500</v>
      </c>
      <c r="K701" s="2">
        <f>SUM('Budget Detail FY 2013-20'!T931:T933)</f>
        <v>11500</v>
      </c>
    </row>
    <row r="702" spans="2:11" ht="20.100000000000001" customHeight="1">
      <c r="B702" s="507" t="s">
        <v>839</v>
      </c>
      <c r="C702" s="2">
        <f>'Budget Detail FY 2013-20'!L934</f>
        <v>1257</v>
      </c>
      <c r="D702" s="2">
        <f>'Budget Detail FY 2013-20'!M934</f>
        <v>1313</v>
      </c>
      <c r="E702" s="2">
        <f>'Budget Detail FY 2013-20'!N934</f>
        <v>1300</v>
      </c>
      <c r="F702" s="2">
        <f>'Budget Detail FY 2013-20'!O934</f>
        <v>750</v>
      </c>
      <c r="G702" s="2">
        <f>'Budget Detail FY 2013-20'!P934</f>
        <v>1500</v>
      </c>
      <c r="H702" s="2">
        <f>'Budget Detail FY 2013-20'!Q934</f>
        <v>400</v>
      </c>
      <c r="I702" s="2">
        <f>'Budget Detail FY 2013-20'!R934</f>
        <v>400</v>
      </c>
      <c r="J702" s="2">
        <f>'Budget Detail FY 2013-20'!S934</f>
        <v>400</v>
      </c>
      <c r="K702" s="2">
        <f>'Budget Detail FY 2013-20'!T934</f>
        <v>400</v>
      </c>
    </row>
    <row r="703" spans="2:11" ht="20.100000000000001" customHeight="1">
      <c r="B703" s="507" t="s">
        <v>840</v>
      </c>
      <c r="C703" s="2">
        <f>SUM('Budget Detail FY 2013-20'!L935:L936)</f>
        <v>9396</v>
      </c>
      <c r="D703" s="2">
        <f>SUM('Budget Detail FY 2013-20'!M935:M936)</f>
        <v>0</v>
      </c>
      <c r="E703" s="2">
        <f>SUM('Budget Detail FY 2013-20'!N935:N936)</f>
        <v>0</v>
      </c>
      <c r="F703" s="2">
        <f>SUM('Budget Detail FY 2013-20'!O935:O936)</f>
        <v>0</v>
      </c>
      <c r="G703" s="2">
        <f>SUM('Budget Detail FY 2013-20'!P935:P936)</f>
        <v>0</v>
      </c>
      <c r="H703" s="2">
        <f>SUM('Budget Detail FY 2013-20'!Q935:Q936)</f>
        <v>0</v>
      </c>
      <c r="I703" s="2">
        <f>SUM('Budget Detail FY 2013-20'!R935:R936)</f>
        <v>0</v>
      </c>
      <c r="J703" s="2">
        <f>SUM('Budget Detail FY 2013-20'!S935:S936)</f>
        <v>0</v>
      </c>
      <c r="K703" s="2">
        <f>SUM('Budget Detail FY 2013-20'!T935:T936)</f>
        <v>0</v>
      </c>
    </row>
    <row r="704" spans="2:11" ht="20.100000000000001" customHeight="1">
      <c r="B704" s="507" t="s">
        <v>841</v>
      </c>
      <c r="C704" s="2">
        <f>SUM('Budget Detail FY 2013-20'!L937:L940)</f>
        <v>12489</v>
      </c>
      <c r="D704" s="2">
        <f>SUM('Budget Detail FY 2013-20'!M937:M940)</f>
        <v>7992</v>
      </c>
      <c r="E704" s="2">
        <f>SUM('Budget Detail FY 2013-20'!N937:N940)</f>
        <v>7500</v>
      </c>
      <c r="F704" s="2">
        <f>SUM('Budget Detail FY 2013-20'!O937:O940)</f>
        <v>7500</v>
      </c>
      <c r="G704" s="2">
        <f>SUM('Budget Detail FY 2013-20'!P937:P940)</f>
        <v>7500</v>
      </c>
      <c r="H704" s="2">
        <f>SUM('Budget Detail FY 2013-20'!Q937:Q940)</f>
        <v>7500</v>
      </c>
      <c r="I704" s="2">
        <f>SUM('Budget Detail FY 2013-20'!R937:R940)</f>
        <v>7500</v>
      </c>
      <c r="J704" s="2">
        <f>SUM('Budget Detail FY 2013-20'!S937:S940)</f>
        <v>7500</v>
      </c>
      <c r="K704" s="2">
        <f>SUM('Budget Detail FY 2013-20'!T937:T940)</f>
        <v>7500</v>
      </c>
    </row>
    <row r="705" spans="2:12" ht="20.100000000000001" customHeight="1">
      <c r="B705" s="509" t="s">
        <v>842</v>
      </c>
      <c r="C705" s="2">
        <f>SUM('Budget Detail FY 2013-20'!L941:L941)</f>
        <v>26819</v>
      </c>
      <c r="D705" s="2">
        <f>SUM('Budget Detail FY 2013-20'!M941:M941)</f>
        <v>45948</v>
      </c>
      <c r="E705" s="2">
        <f>SUM('Budget Detail FY 2013-20'!N941:N941)</f>
        <v>32375</v>
      </c>
      <c r="F705" s="2">
        <f>SUM('Budget Detail FY 2013-20'!O941:O941)</f>
        <v>32375</v>
      </c>
      <c r="G705" s="2">
        <f>SUM('Budget Detail FY 2013-20'!P941:P941)</f>
        <v>34168</v>
      </c>
      <c r="H705" s="2">
        <f>SUM('Budget Detail FY 2013-20'!Q941:Q941)</f>
        <v>35568</v>
      </c>
      <c r="I705" s="2">
        <f>SUM('Budget Detail FY 2013-20'!R941:R941)</f>
        <v>37582</v>
      </c>
      <c r="J705" s="2">
        <f>SUM('Budget Detail FY 2013-20'!S941:S941)</f>
        <v>39717</v>
      </c>
      <c r="K705" s="2">
        <f>SUM('Budget Detail FY 2013-20'!T941:T941)</f>
        <v>41980</v>
      </c>
    </row>
    <row r="706" spans="2:12" ht="20.100000000000001" customHeight="1" thickBot="1">
      <c r="B706" s="153" t="s">
        <v>843</v>
      </c>
      <c r="C706" s="150">
        <f t="shared" ref="C706:J706" si="108">SUM(C698:C705)</f>
        <v>789584</v>
      </c>
      <c r="D706" s="150">
        <f>SUM(D698:D705)</f>
        <v>741392</v>
      </c>
      <c r="E706" s="150">
        <f t="shared" si="108"/>
        <v>732685</v>
      </c>
      <c r="F706" s="150">
        <f t="shared" si="108"/>
        <v>714776</v>
      </c>
      <c r="G706" s="150">
        <f t="shared" si="108"/>
        <v>721418</v>
      </c>
      <c r="H706" s="150">
        <f t="shared" si="108"/>
        <v>721718</v>
      </c>
      <c r="I706" s="150">
        <f>SUM(I698:I705)</f>
        <v>728732</v>
      </c>
      <c r="J706" s="150">
        <f t="shared" si="108"/>
        <v>730867</v>
      </c>
      <c r="K706" s="150">
        <f>SUM(K698:K705)</f>
        <v>738130</v>
      </c>
    </row>
    <row r="707" spans="2:12" s="569" customFormat="1" hidden="1">
      <c r="B707" s="155"/>
      <c r="C707" s="132">
        <f>'Budget Detail FY 2013-20'!L943</f>
        <v>789584</v>
      </c>
      <c r="D707" s="132">
        <f>'Budget Detail FY 2013-20'!M943</f>
        <v>741392</v>
      </c>
      <c r="E707" s="132">
        <f>'Budget Detail FY 2013-20'!N943</f>
        <v>732685</v>
      </c>
      <c r="F707" s="132">
        <f>'Budget Detail FY 2013-20'!O943</f>
        <v>714776</v>
      </c>
      <c r="G707" s="132">
        <f>'Budget Detail FY 2013-20'!P943</f>
        <v>721418</v>
      </c>
      <c r="H707" s="132">
        <f>'Budget Detail FY 2013-20'!Q943</f>
        <v>721718</v>
      </c>
      <c r="I707" s="132">
        <f>'Budget Detail FY 2013-20'!R943</f>
        <v>728732</v>
      </c>
      <c r="J707" s="132">
        <f>'Budget Detail FY 2013-20'!S943</f>
        <v>730867</v>
      </c>
      <c r="K707" s="132">
        <f>'Budget Detail FY 2013-20'!T943</f>
        <v>738130</v>
      </c>
      <c r="L707" s="571" t="s">
        <v>1150</v>
      </c>
    </row>
    <row r="708" spans="2:12" s="570" customFormat="1" hidden="1">
      <c r="B708" s="157"/>
      <c r="C708" s="133">
        <f>C706-C707</f>
        <v>0</v>
      </c>
      <c r="D708" s="133">
        <f t="shared" ref="D708:K708" si="109">D706-D707</f>
        <v>0</v>
      </c>
      <c r="E708" s="133">
        <f t="shared" si="109"/>
        <v>0</v>
      </c>
      <c r="F708" s="133">
        <f t="shared" si="109"/>
        <v>0</v>
      </c>
      <c r="G708" s="133">
        <f t="shared" si="109"/>
        <v>0</v>
      </c>
      <c r="H708" s="133">
        <f t="shared" si="109"/>
        <v>0</v>
      </c>
      <c r="I708" s="133">
        <f t="shared" si="109"/>
        <v>0</v>
      </c>
      <c r="J708" s="133">
        <f t="shared" si="109"/>
        <v>0</v>
      </c>
      <c r="K708" s="133">
        <f t="shared" si="109"/>
        <v>0</v>
      </c>
      <c r="L708" s="571" t="s">
        <v>1151</v>
      </c>
    </row>
    <row r="709" spans="2:12" ht="7.5" customHeight="1">
      <c r="B709" s="1"/>
      <c r="C709" s="2"/>
      <c r="D709" s="2"/>
      <c r="E709" s="2"/>
      <c r="F709" s="2"/>
      <c r="G709" s="2"/>
      <c r="H709" s="2"/>
      <c r="I709" s="2"/>
      <c r="J709" s="2"/>
      <c r="K709" s="2"/>
    </row>
    <row r="710" spans="2:12">
      <c r="B710" s="158" t="s">
        <v>598</v>
      </c>
      <c r="C710" s="2"/>
      <c r="D710" s="2"/>
      <c r="E710" s="2"/>
      <c r="F710" s="2"/>
      <c r="G710" s="2"/>
      <c r="H710" s="2"/>
      <c r="I710" s="2"/>
      <c r="J710" s="2"/>
      <c r="K710" s="2"/>
    </row>
    <row r="711" spans="2:12" ht="20.100000000000001" customHeight="1">
      <c r="B711" s="508" t="s">
        <v>844</v>
      </c>
      <c r="C711" s="2">
        <f>SUM('Budget Detail FY 2013-20'!L945:L946)</f>
        <v>420283</v>
      </c>
      <c r="D711" s="2">
        <f>SUM('Budget Detail FY 2013-20'!M945:M946)</f>
        <v>414525</v>
      </c>
      <c r="E711" s="2">
        <f>SUM('Budget Detail FY 2013-20'!N945:N946)</f>
        <v>447540</v>
      </c>
      <c r="F711" s="2">
        <f>SUM('Budget Detail FY 2013-20'!O945:O946)</f>
        <v>447540</v>
      </c>
      <c r="G711" s="2">
        <f>SUM('Budget Detail FY 2013-20'!P945:P946)</f>
        <v>397860</v>
      </c>
      <c r="H711" s="2">
        <f>SUM('Budget Detail FY 2013-20'!Q945:Q946)</f>
        <v>397860</v>
      </c>
      <c r="I711" s="2">
        <f>SUM('Budget Detail FY 2013-20'!R945:R946)</f>
        <v>397860</v>
      </c>
      <c r="J711" s="2">
        <f>SUM('Budget Detail FY 2013-20'!S945:S946)</f>
        <v>397860</v>
      </c>
      <c r="K711" s="2">
        <f>SUM('Budget Detail FY 2013-20'!T945:T946)</f>
        <v>397860</v>
      </c>
    </row>
    <row r="712" spans="2:12" ht="20.100000000000001" customHeight="1">
      <c r="B712" s="508" t="s">
        <v>845</v>
      </c>
      <c r="C712" s="2">
        <f>SUM('Budget Detail FY 2013-20'!L947:L954)</f>
        <v>177713</v>
      </c>
      <c r="D712" s="2">
        <f>SUM('Budget Detail FY 2013-20'!M947:M954)</f>
        <v>170118</v>
      </c>
      <c r="E712" s="2">
        <f>SUM('Budget Detail FY 2013-20'!N947:N954)</f>
        <v>204448</v>
      </c>
      <c r="F712" s="2">
        <f>SUM('Budget Detail FY 2013-20'!O947:O954)</f>
        <v>198123</v>
      </c>
      <c r="G712" s="2">
        <f>SUM('Budget Detail FY 2013-20'!P947:P954)</f>
        <v>171013</v>
      </c>
      <c r="H712" s="2">
        <f>SUM('Budget Detail FY 2013-20'!Q947:Q954)</f>
        <v>181275</v>
      </c>
      <c r="I712" s="2">
        <f>SUM('Budget Detail FY 2013-20'!R947:R954)</f>
        <v>191845</v>
      </c>
      <c r="J712" s="2">
        <f>SUM('Budget Detail FY 2013-20'!S947:S954)</f>
        <v>203196</v>
      </c>
      <c r="K712" s="2">
        <f>SUM('Budget Detail FY 2013-20'!T947:T954)</f>
        <v>215379</v>
      </c>
    </row>
    <row r="713" spans="2:12" ht="20.100000000000001" customHeight="1">
      <c r="B713" s="508" t="s">
        <v>846</v>
      </c>
      <c r="C713" s="2">
        <f>SUM('Budget Detail FY 2013-20'!L955:L967)</f>
        <v>104651</v>
      </c>
      <c r="D713" s="2">
        <f>SUM('Budget Detail FY 2013-20'!M955:M967)</f>
        <v>94739</v>
      </c>
      <c r="E713" s="2">
        <f>SUM('Budget Detail FY 2013-20'!N955:N967)</f>
        <v>112465</v>
      </c>
      <c r="F713" s="2">
        <f>SUM('Budget Detail FY 2013-20'!O955:O967)</f>
        <v>129938</v>
      </c>
      <c r="G713" s="2">
        <f>SUM('Budget Detail FY 2013-20'!P955:P967)</f>
        <v>128249</v>
      </c>
      <c r="H713" s="2">
        <f>SUM('Budget Detail FY 2013-20'!Q955:Q967)</f>
        <v>114171</v>
      </c>
      <c r="I713" s="2">
        <f>SUM('Budget Detail FY 2013-20'!R955:R967)</f>
        <v>115148</v>
      </c>
      <c r="J713" s="2">
        <f>SUM('Budget Detail FY 2013-20'!S955:S967)</f>
        <v>116183</v>
      </c>
      <c r="K713" s="2">
        <f>SUM('Budget Detail FY 2013-20'!T955:T967)</f>
        <v>117281</v>
      </c>
    </row>
    <row r="714" spans="2:12" ht="20.100000000000001" customHeight="1">
      <c r="B714" s="508" t="s">
        <v>847</v>
      </c>
      <c r="C714" s="2">
        <f>SUM('Budget Detail FY 2013-20'!L968:L980)</f>
        <v>24163</v>
      </c>
      <c r="D714" s="2">
        <f>SUM('Budget Detail FY 2013-20'!M968:M980)</f>
        <v>15885</v>
      </c>
      <c r="E714" s="2">
        <f>SUM('Budget Detail FY 2013-20'!N968:N980)</f>
        <v>19000</v>
      </c>
      <c r="F714" s="2">
        <f>SUM('Budget Detail FY 2013-20'!O968:O980)</f>
        <v>19000</v>
      </c>
      <c r="G714" s="2">
        <f>SUM('Budget Detail FY 2013-20'!P968:P980)</f>
        <v>19000</v>
      </c>
      <c r="H714" s="2">
        <f>SUM('Budget Detail FY 2013-20'!Q968:Q980)</f>
        <v>19000</v>
      </c>
      <c r="I714" s="2">
        <f>SUM('Budget Detail FY 2013-20'!R968:R980)</f>
        <v>19000</v>
      </c>
      <c r="J714" s="2">
        <f>SUM('Budget Detail FY 2013-20'!S968:S980)</f>
        <v>19000</v>
      </c>
      <c r="K714" s="2">
        <f>SUM('Budget Detail FY 2013-20'!T968:T980)</f>
        <v>19000</v>
      </c>
    </row>
    <row r="715" spans="2:12" ht="20.100000000000001" customHeight="1">
      <c r="B715" s="509" t="s">
        <v>850</v>
      </c>
      <c r="C715" s="2">
        <f>SUM('Budget Detail FY 2013-20'!L981:L981)</f>
        <v>5469</v>
      </c>
      <c r="D715" s="2">
        <f>SUM('Budget Detail FY 2013-20'!M981:M981)</f>
        <v>21185</v>
      </c>
      <c r="E715" s="2">
        <f>SUM('Budget Detail FY 2013-20'!N981:N981)</f>
        <v>0</v>
      </c>
      <c r="F715" s="2">
        <f>SUM('Budget Detail FY 2013-20'!O981:O981)</f>
        <v>3558</v>
      </c>
      <c r="G715" s="2">
        <f>SUM('Budget Detail FY 2013-20'!P981:P981)</f>
        <v>0</v>
      </c>
      <c r="H715" s="2">
        <f>SUM('Budget Detail FY 2013-20'!Q981:Q981)</f>
        <v>0</v>
      </c>
      <c r="I715" s="2">
        <f>SUM('Budget Detail FY 2013-20'!R981:R981)</f>
        <v>0</v>
      </c>
      <c r="J715" s="2">
        <f>SUM('Budget Detail FY 2013-20'!S981:S981)</f>
        <v>0</v>
      </c>
      <c r="K715" s="2">
        <f>SUM('Budget Detail FY 2013-20'!T981:T981)</f>
        <v>0</v>
      </c>
    </row>
    <row r="716" spans="2:12" ht="20.100000000000001" customHeight="1" thickBot="1">
      <c r="B716" s="153" t="s">
        <v>851</v>
      </c>
      <c r="C716" s="150">
        <f t="shared" ref="C716:K716" si="110">SUM(C711:C715)</f>
        <v>732279</v>
      </c>
      <c r="D716" s="150">
        <f t="shared" si="110"/>
        <v>716452</v>
      </c>
      <c r="E716" s="150">
        <f t="shared" si="110"/>
        <v>783453</v>
      </c>
      <c r="F716" s="150">
        <f t="shared" si="110"/>
        <v>798159</v>
      </c>
      <c r="G716" s="150">
        <f t="shared" si="110"/>
        <v>716122</v>
      </c>
      <c r="H716" s="150">
        <f t="shared" si="110"/>
        <v>712306</v>
      </c>
      <c r="I716" s="150">
        <f t="shared" si="110"/>
        <v>723853</v>
      </c>
      <c r="J716" s="150">
        <f t="shared" si="110"/>
        <v>736239</v>
      </c>
      <c r="K716" s="150">
        <f t="shared" si="110"/>
        <v>749520</v>
      </c>
    </row>
    <row r="717" spans="2:12" s="569" customFormat="1" hidden="1">
      <c r="B717" s="155"/>
      <c r="C717" s="132">
        <f>'Budget Detail FY 2013-20'!L983</f>
        <v>732279</v>
      </c>
      <c r="D717" s="132">
        <f>'Budget Detail FY 2013-20'!M983</f>
        <v>716452</v>
      </c>
      <c r="E717" s="132">
        <f>'Budget Detail FY 2013-20'!N983</f>
        <v>783453</v>
      </c>
      <c r="F717" s="132">
        <f>'Budget Detail FY 2013-20'!O983</f>
        <v>798159</v>
      </c>
      <c r="G717" s="132">
        <f>'Budget Detail FY 2013-20'!P983</f>
        <v>716122</v>
      </c>
      <c r="H717" s="132">
        <f>'Budget Detail FY 2013-20'!Q983</f>
        <v>712306</v>
      </c>
      <c r="I717" s="132">
        <f>'Budget Detail FY 2013-20'!R983</f>
        <v>723853</v>
      </c>
      <c r="J717" s="132">
        <f>'Budget Detail FY 2013-20'!S983</f>
        <v>736239</v>
      </c>
      <c r="K717" s="132">
        <f>'Budget Detail FY 2013-20'!T983</f>
        <v>749520</v>
      </c>
      <c r="L717" s="571" t="s">
        <v>1150</v>
      </c>
    </row>
    <row r="718" spans="2:12" s="570" customFormat="1" hidden="1">
      <c r="B718" s="157"/>
      <c r="C718" s="133">
        <f>C716-C717</f>
        <v>0</v>
      </c>
      <c r="D718" s="133">
        <f t="shared" ref="D718:K718" si="111">D716-D717</f>
        <v>0</v>
      </c>
      <c r="E718" s="133">
        <f t="shared" si="111"/>
        <v>0</v>
      </c>
      <c r="F718" s="133">
        <f t="shared" si="111"/>
        <v>0</v>
      </c>
      <c r="G718" s="133">
        <f t="shared" si="111"/>
        <v>0</v>
      </c>
      <c r="H718" s="133">
        <f t="shared" si="111"/>
        <v>0</v>
      </c>
      <c r="I718" s="133">
        <f t="shared" si="111"/>
        <v>0</v>
      </c>
      <c r="J718" s="133">
        <f t="shared" si="111"/>
        <v>0</v>
      </c>
      <c r="K718" s="133">
        <f t="shared" si="111"/>
        <v>0</v>
      </c>
      <c r="L718" s="571" t="s">
        <v>1151</v>
      </c>
    </row>
    <row r="719" spans="2:12" ht="7.5" customHeight="1">
      <c r="B719" s="160"/>
      <c r="C719" s="3"/>
      <c r="D719" s="2"/>
      <c r="E719" s="2"/>
      <c r="F719" s="2"/>
      <c r="G719" s="2"/>
      <c r="H719" s="2"/>
      <c r="I719" s="2"/>
      <c r="J719" s="2"/>
      <c r="K719" s="2"/>
    </row>
    <row r="720" spans="2:12" ht="20.100000000000001" customHeight="1">
      <c r="B720" s="510" t="s">
        <v>852</v>
      </c>
      <c r="C720" s="3">
        <f t="shared" ref="C720:K720" si="112">+C706-C716</f>
        <v>57305</v>
      </c>
      <c r="D720" s="3">
        <f t="shared" si="112"/>
        <v>24940</v>
      </c>
      <c r="E720" s="3">
        <f t="shared" si="112"/>
        <v>-50768</v>
      </c>
      <c r="F720" s="3">
        <f t="shared" si="112"/>
        <v>-83383</v>
      </c>
      <c r="G720" s="3">
        <f t="shared" si="112"/>
        <v>5296</v>
      </c>
      <c r="H720" s="3">
        <f t="shared" si="112"/>
        <v>9412</v>
      </c>
      <c r="I720" s="3">
        <f t="shared" si="112"/>
        <v>4879</v>
      </c>
      <c r="J720" s="3">
        <f t="shared" si="112"/>
        <v>-5372</v>
      </c>
      <c r="K720" s="3">
        <f t="shared" si="112"/>
        <v>-11390</v>
      </c>
    </row>
    <row r="721" spans="2:12" s="569" customFormat="1" hidden="1">
      <c r="B721" s="161"/>
      <c r="C721" s="132">
        <f>'Budget Detail FY 2013-20'!L985</f>
        <v>57305</v>
      </c>
      <c r="D721" s="132">
        <f>'Budget Detail FY 2013-20'!M985</f>
        <v>24940</v>
      </c>
      <c r="E721" s="132">
        <f>'Budget Detail FY 2013-20'!N985</f>
        <v>-50768</v>
      </c>
      <c r="F721" s="132">
        <f>'Budget Detail FY 2013-20'!O985</f>
        <v>-83383</v>
      </c>
      <c r="G721" s="132">
        <f>'Budget Detail FY 2013-20'!P985</f>
        <v>5296</v>
      </c>
      <c r="H721" s="132">
        <f>'Budget Detail FY 2013-20'!Q985</f>
        <v>9412</v>
      </c>
      <c r="I721" s="132">
        <f>'Budget Detail FY 2013-20'!R985</f>
        <v>4879</v>
      </c>
      <c r="J721" s="132">
        <f>'Budget Detail FY 2013-20'!S985</f>
        <v>-5372</v>
      </c>
      <c r="K721" s="132">
        <f>'Budget Detail FY 2013-20'!T985</f>
        <v>-11390</v>
      </c>
      <c r="L721" s="571" t="s">
        <v>1150</v>
      </c>
    </row>
    <row r="722" spans="2:12" s="570" customFormat="1" hidden="1">
      <c r="B722" s="162"/>
      <c r="C722" s="171">
        <f>C720-C721</f>
        <v>0</v>
      </c>
      <c r="D722" s="171">
        <f t="shared" ref="D722:K722" si="113">D720-D721</f>
        <v>0</v>
      </c>
      <c r="E722" s="171">
        <f t="shared" si="113"/>
        <v>0</v>
      </c>
      <c r="F722" s="171">
        <f t="shared" si="113"/>
        <v>0</v>
      </c>
      <c r="G722" s="171">
        <f t="shared" si="113"/>
        <v>0</v>
      </c>
      <c r="H722" s="171">
        <f t="shared" si="113"/>
        <v>0</v>
      </c>
      <c r="I722" s="171">
        <f t="shared" si="113"/>
        <v>0</v>
      </c>
      <c r="J722" s="171">
        <f t="shared" si="113"/>
        <v>0</v>
      </c>
      <c r="K722" s="171">
        <f t="shared" si="113"/>
        <v>0</v>
      </c>
      <c r="L722" s="571" t="s">
        <v>1151</v>
      </c>
    </row>
    <row r="723" spans="2:12" ht="7.5" customHeight="1">
      <c r="B723" s="164"/>
      <c r="C723" s="3"/>
      <c r="D723" s="2"/>
      <c r="E723" s="2"/>
      <c r="F723" s="2"/>
      <c r="G723" s="2"/>
      <c r="H723" s="2"/>
      <c r="I723" s="2"/>
      <c r="J723" s="2"/>
      <c r="K723" s="2"/>
    </row>
    <row r="724" spans="2:12" ht="20.100000000000001" customHeight="1" thickBot="1">
      <c r="B724" s="152" t="s">
        <v>853</v>
      </c>
      <c r="C724" s="83">
        <v>446136</v>
      </c>
      <c r="D724" s="83">
        <v>471076</v>
      </c>
      <c r="E724" s="83">
        <v>354783</v>
      </c>
      <c r="F724" s="83">
        <f>D724+F720</f>
        <v>387693</v>
      </c>
      <c r="G724" s="83">
        <f>F724+G720</f>
        <v>392989</v>
      </c>
      <c r="H724" s="83">
        <f>G724+H720</f>
        <v>402401</v>
      </c>
      <c r="I724" s="83">
        <f>H724+I720</f>
        <v>407280</v>
      </c>
      <c r="J724" s="83">
        <f>I724+J720</f>
        <v>401908</v>
      </c>
      <c r="K724" s="83">
        <f>J724+K720</f>
        <v>390518</v>
      </c>
    </row>
    <row r="725" spans="2:12" s="569" customFormat="1" ht="15.75" hidden="1" thickTop="1">
      <c r="B725" s="155"/>
      <c r="C725" s="132">
        <f>'Budget Detail FY 2013-20'!L987</f>
        <v>446136</v>
      </c>
      <c r="D725" s="132">
        <f>'Budget Detail FY 2013-20'!M987</f>
        <v>471076</v>
      </c>
      <c r="E725" s="132">
        <f>'Budget Detail FY 2013-20'!N987</f>
        <v>354783</v>
      </c>
      <c r="F725" s="132">
        <f>'Budget Detail FY 2013-20'!O987</f>
        <v>387693</v>
      </c>
      <c r="G725" s="132">
        <f>'Budget Detail FY 2013-20'!P987</f>
        <v>392989</v>
      </c>
      <c r="H725" s="132">
        <f>'Budget Detail FY 2013-20'!Q987</f>
        <v>402401</v>
      </c>
      <c r="I725" s="132">
        <f>'Budget Detail FY 2013-20'!R987</f>
        <v>407280</v>
      </c>
      <c r="J725" s="132">
        <f>'Budget Detail FY 2013-20'!S987</f>
        <v>401908</v>
      </c>
      <c r="K725" s="132">
        <f>'Budget Detail FY 2013-20'!T987</f>
        <v>390518</v>
      </c>
      <c r="L725" s="571" t="s">
        <v>1150</v>
      </c>
    </row>
    <row r="726" spans="2:12" s="570" customFormat="1" hidden="1">
      <c r="B726" s="157"/>
      <c r="C726" s="133">
        <f>C724-C725</f>
        <v>0</v>
      </c>
      <c r="D726" s="133">
        <f t="shared" ref="D726:K726" si="114">D724-D725</f>
        <v>0</v>
      </c>
      <c r="E726" s="133">
        <f t="shared" si="114"/>
        <v>0</v>
      </c>
      <c r="F726" s="133">
        <f t="shared" si="114"/>
        <v>0</v>
      </c>
      <c r="G726" s="133">
        <f t="shared" si="114"/>
        <v>0</v>
      </c>
      <c r="H726" s="133">
        <f t="shared" si="114"/>
        <v>0</v>
      </c>
      <c r="I726" s="133">
        <f t="shared" si="114"/>
        <v>0</v>
      </c>
      <c r="J726" s="133">
        <f t="shared" si="114"/>
        <v>0</v>
      </c>
      <c r="K726" s="133">
        <f t="shared" si="114"/>
        <v>0</v>
      </c>
      <c r="L726" s="571" t="s">
        <v>1151</v>
      </c>
    </row>
    <row r="727" spans="2:12" ht="15.75" thickTop="1">
      <c r="B727" s="165"/>
      <c r="C727" s="166">
        <f t="shared" ref="C727:K727" si="115">+C724/C716</f>
        <v>0.60924319828917661</v>
      </c>
      <c r="D727" s="166">
        <f t="shared" si="115"/>
        <v>0.65751229670654843</v>
      </c>
      <c r="E727" s="166">
        <f t="shared" si="115"/>
        <v>0.45284528874099661</v>
      </c>
      <c r="F727" s="166">
        <f t="shared" si="115"/>
        <v>0.48573404547214277</v>
      </c>
      <c r="G727" s="166">
        <f t="shared" si="115"/>
        <v>0.54877381228338185</v>
      </c>
      <c r="H727" s="166">
        <f t="shared" si="115"/>
        <v>0.56492715209474575</v>
      </c>
      <c r="I727" s="166">
        <f t="shared" si="115"/>
        <v>0.56265567732675004</v>
      </c>
      <c r="J727" s="166">
        <f t="shared" si="115"/>
        <v>0.54589338516432839</v>
      </c>
      <c r="K727" s="166">
        <f t="shared" si="115"/>
        <v>0.52102412210481375</v>
      </c>
    </row>
    <row r="728" spans="2:12">
      <c r="B728" s="165"/>
      <c r="C728" s="166"/>
      <c r="D728" s="166"/>
      <c r="E728" s="166"/>
      <c r="F728" s="166"/>
      <c r="G728" s="166"/>
      <c r="H728" s="166"/>
      <c r="I728" s="166"/>
      <c r="J728" s="166"/>
      <c r="K728" s="166"/>
    </row>
    <row r="729" spans="2:12" ht="7.5" customHeight="1">
      <c r="B729" s="165"/>
      <c r="C729" s="178"/>
      <c r="D729" s="178"/>
      <c r="E729" s="178"/>
      <c r="F729" s="178"/>
      <c r="G729" s="178"/>
      <c r="H729" s="178"/>
      <c r="I729" s="178"/>
      <c r="J729" s="178"/>
      <c r="K729" s="178"/>
    </row>
    <row r="730" spans="2:12">
      <c r="B730" s="165"/>
      <c r="C730" s="2"/>
      <c r="D730" s="2"/>
      <c r="E730" s="2"/>
      <c r="F730" s="2"/>
      <c r="G730" s="2"/>
      <c r="H730" s="2"/>
      <c r="I730" s="2"/>
      <c r="J730" s="2"/>
      <c r="K730" s="2"/>
    </row>
    <row r="731" spans="2:12">
      <c r="B731" s="1"/>
      <c r="C731" s="2"/>
      <c r="D731" s="2"/>
      <c r="E731" s="2"/>
      <c r="F731" s="2"/>
      <c r="G731" s="2"/>
      <c r="H731" s="2"/>
      <c r="I731" s="2"/>
      <c r="J731" s="2"/>
      <c r="K731" s="2"/>
    </row>
    <row r="732" spans="2:12">
      <c r="B732" s="1"/>
      <c r="C732" s="2"/>
      <c r="D732" s="2"/>
      <c r="E732" s="2"/>
      <c r="F732" s="2"/>
      <c r="G732" s="2"/>
      <c r="H732" s="2"/>
      <c r="I732" s="2"/>
      <c r="J732" s="2"/>
      <c r="K732" s="2"/>
    </row>
    <row r="733" spans="2:12">
      <c r="B733" s="1"/>
      <c r="C733" s="2"/>
      <c r="D733" s="2"/>
      <c r="E733" s="2"/>
      <c r="F733" s="2"/>
      <c r="G733" s="2"/>
      <c r="H733" s="2"/>
      <c r="I733" s="2"/>
      <c r="J733" s="2"/>
      <c r="K733" s="2"/>
    </row>
    <row r="734" spans="2:12">
      <c r="B734" s="1"/>
      <c r="C734" s="2"/>
      <c r="D734" s="2"/>
      <c r="E734" s="2"/>
      <c r="F734" s="2"/>
      <c r="G734" s="2"/>
      <c r="H734" s="2"/>
      <c r="I734" s="2"/>
      <c r="J734" s="2"/>
      <c r="K734" s="2"/>
    </row>
    <row r="735" spans="2:12">
      <c r="B735" s="1"/>
      <c r="C735" s="2"/>
      <c r="D735" s="2"/>
      <c r="E735" s="2"/>
      <c r="F735" s="2"/>
      <c r="G735" s="2"/>
      <c r="H735" s="2"/>
      <c r="I735" s="2"/>
      <c r="J735" s="2"/>
      <c r="K735" s="2"/>
    </row>
    <row r="736" spans="2:12">
      <c r="B736" s="1"/>
      <c r="C736" s="2"/>
      <c r="D736" s="2"/>
      <c r="E736" s="2"/>
      <c r="F736" s="2"/>
      <c r="G736" s="2"/>
      <c r="H736" s="2"/>
      <c r="I736" s="2"/>
      <c r="J736" s="2"/>
      <c r="K736" s="2"/>
    </row>
    <row r="737" spans="2:11">
      <c r="B737" s="1"/>
      <c r="C737" s="2"/>
      <c r="D737" s="2"/>
      <c r="E737" s="2"/>
      <c r="F737" s="2"/>
      <c r="G737" s="2"/>
      <c r="H737" s="2"/>
      <c r="I737" s="2"/>
      <c r="J737" s="2"/>
      <c r="K737" s="2"/>
    </row>
    <row r="738" spans="2:11">
      <c r="B738" s="1"/>
      <c r="C738" s="2"/>
      <c r="D738" s="2"/>
      <c r="E738" s="2"/>
      <c r="F738" s="2"/>
      <c r="G738" s="2"/>
      <c r="H738" s="2"/>
      <c r="I738" s="2"/>
      <c r="J738" s="2"/>
      <c r="K738" s="2"/>
    </row>
    <row r="739" spans="2:11">
      <c r="B739" s="1"/>
      <c r="C739" s="2"/>
      <c r="D739" s="2"/>
      <c r="E739" s="2"/>
      <c r="F739" s="2"/>
      <c r="G739" s="2"/>
      <c r="H739" s="2"/>
      <c r="I739" s="2"/>
      <c r="J739" s="2"/>
      <c r="K739" s="2"/>
    </row>
    <row r="740" spans="2:11">
      <c r="B740" s="1"/>
      <c r="C740" s="2"/>
      <c r="D740" s="2"/>
      <c r="E740" s="2"/>
      <c r="F740" s="2"/>
      <c r="G740" s="2"/>
      <c r="H740" s="2"/>
      <c r="I740" s="2"/>
      <c r="J740" s="2"/>
      <c r="K740" s="2"/>
    </row>
    <row r="741" spans="2:11">
      <c r="B741" s="1"/>
      <c r="C741" s="2"/>
      <c r="D741" s="2"/>
      <c r="E741" s="2"/>
      <c r="F741" s="2"/>
      <c r="G741" s="2"/>
      <c r="H741" s="2"/>
      <c r="I741" s="2"/>
      <c r="J741" s="2"/>
      <c r="K741" s="2"/>
    </row>
    <row r="742" spans="2:11">
      <c r="B742" s="1"/>
      <c r="C742" s="2"/>
      <c r="D742" s="2"/>
      <c r="E742" s="2"/>
      <c r="F742" s="2"/>
      <c r="G742" s="2"/>
      <c r="H742" s="2"/>
      <c r="I742" s="2"/>
      <c r="J742" s="2"/>
      <c r="K742" s="2"/>
    </row>
    <row r="743" spans="2:11">
      <c r="B743" s="1"/>
      <c r="C743" s="2"/>
      <c r="D743" s="2"/>
      <c r="E743" s="2"/>
      <c r="F743" s="2"/>
      <c r="G743" s="2"/>
      <c r="H743" s="2"/>
      <c r="I743" s="2"/>
      <c r="J743" s="2"/>
      <c r="K743" s="2"/>
    </row>
    <row r="744" spans="2:11" ht="18.75" customHeight="1">
      <c r="B744" s="740" t="s">
        <v>877</v>
      </c>
      <c r="C744" s="740"/>
      <c r="D744" s="740"/>
      <c r="E744" s="740"/>
      <c r="F744" s="740"/>
      <c r="G744" s="740"/>
      <c r="H744" s="740"/>
      <c r="I744" s="740"/>
      <c r="J744" s="740"/>
      <c r="K744" s="740"/>
    </row>
    <row r="745" spans="2:11">
      <c r="B745" s="65"/>
      <c r="C745" s="3"/>
      <c r="D745" s="2"/>
      <c r="E745" s="2"/>
      <c r="F745" s="2"/>
      <c r="G745" s="2"/>
      <c r="H745" s="2"/>
      <c r="I745" s="2"/>
      <c r="J745" s="2"/>
      <c r="K745" s="2"/>
    </row>
    <row r="746" spans="2:11" ht="12.75" customHeight="1">
      <c r="B746" s="731" t="s">
        <v>1292</v>
      </c>
      <c r="C746" s="731"/>
      <c r="D746" s="731"/>
      <c r="E746" s="731"/>
      <c r="F746" s="731"/>
      <c r="G746" s="731"/>
      <c r="H746" s="731"/>
      <c r="I746" s="731"/>
      <c r="J746" s="731"/>
      <c r="K746" s="731"/>
    </row>
    <row r="747" spans="2:11" ht="12.75" customHeight="1">
      <c r="B747" s="731"/>
      <c r="C747" s="731"/>
      <c r="D747" s="731"/>
      <c r="E747" s="731"/>
      <c r="F747" s="731"/>
      <c r="G747" s="731"/>
      <c r="H747" s="731"/>
      <c r="I747" s="731"/>
      <c r="J747" s="731"/>
      <c r="K747" s="731"/>
    </row>
    <row r="748" spans="2:11">
      <c r="B748" s="563"/>
      <c r="C748" s="22"/>
      <c r="D748" s="22"/>
      <c r="E748" s="22"/>
      <c r="F748" s="22"/>
      <c r="G748" s="22"/>
      <c r="H748" s="2"/>
      <c r="I748" s="2"/>
      <c r="J748" s="2"/>
      <c r="K748" s="2"/>
    </row>
    <row r="749" spans="2:11">
      <c r="B749" s="5"/>
      <c r="C749" s="65"/>
      <c r="D749" s="66"/>
      <c r="E749" s="65" t="s">
        <v>270</v>
      </c>
      <c r="F749" s="1"/>
      <c r="G749" s="1"/>
      <c r="H749" s="1"/>
      <c r="I749" s="1"/>
      <c r="J749" s="1"/>
      <c r="K749" s="1"/>
    </row>
    <row r="750" spans="2:11">
      <c r="B750" s="66"/>
      <c r="C750" s="65" t="s">
        <v>257</v>
      </c>
      <c r="D750" s="49" t="s">
        <v>258</v>
      </c>
      <c r="E750" s="66" t="s">
        <v>832</v>
      </c>
      <c r="F750" s="66" t="s">
        <v>270</v>
      </c>
      <c r="G750" s="66" t="s">
        <v>271</v>
      </c>
      <c r="H750" s="66" t="s">
        <v>272</v>
      </c>
      <c r="I750" s="66" t="s">
        <v>996</v>
      </c>
      <c r="J750" s="66" t="s">
        <v>1101</v>
      </c>
      <c r="K750" s="66" t="s">
        <v>1136</v>
      </c>
    </row>
    <row r="751" spans="2:11" ht="15.75" thickBot="1">
      <c r="B751" s="169"/>
      <c r="C751" s="68" t="s">
        <v>1</v>
      </c>
      <c r="D751" s="68" t="s">
        <v>1</v>
      </c>
      <c r="E751" s="68" t="s">
        <v>787</v>
      </c>
      <c r="F751" s="68" t="s">
        <v>19</v>
      </c>
      <c r="G751" s="68" t="s">
        <v>832</v>
      </c>
      <c r="H751" s="68" t="s">
        <v>19</v>
      </c>
      <c r="I751" s="68" t="s">
        <v>19</v>
      </c>
      <c r="J751" s="68" t="s">
        <v>19</v>
      </c>
      <c r="K751" s="68" t="s">
        <v>19</v>
      </c>
    </row>
    <row r="752" spans="2:11">
      <c r="B752" s="64"/>
      <c r="C752" s="170"/>
      <c r="D752" s="2"/>
      <c r="E752" s="2"/>
      <c r="F752" s="2"/>
      <c r="G752" s="2"/>
      <c r="H752" s="2"/>
      <c r="I752" s="2"/>
      <c r="J752" s="2"/>
      <c r="K752" s="2"/>
    </row>
    <row r="753" spans="2:12">
      <c r="B753" s="158" t="s">
        <v>833</v>
      </c>
      <c r="C753" s="2"/>
      <c r="D753" s="2"/>
      <c r="E753" s="2"/>
      <c r="F753" s="2"/>
      <c r="G753" s="2"/>
      <c r="H753" s="2"/>
      <c r="I753" s="2"/>
      <c r="J753" s="2"/>
      <c r="K753" s="2"/>
    </row>
    <row r="754" spans="2:12" ht="20.100000000000001" customHeight="1">
      <c r="B754" s="506" t="s">
        <v>834</v>
      </c>
      <c r="C754" s="2">
        <f>'Budget Detail FY 2013-20'!L992</f>
        <v>791640</v>
      </c>
      <c r="D754" s="2">
        <f>'Budget Detail FY 2013-20'!M992</f>
        <v>746464</v>
      </c>
      <c r="E754" s="2">
        <f>'Budget Detail FY 2013-20'!N992</f>
        <v>731321</v>
      </c>
      <c r="F754" s="2">
        <f>'Budget Detail FY 2013-20'!O992</f>
        <v>727762</v>
      </c>
      <c r="G754" s="2">
        <f>'Budget Detail FY 2013-20'!P992</f>
        <v>749846</v>
      </c>
      <c r="H754" s="2">
        <f>'Budget Detail FY 2013-20'!Q992</f>
        <v>752771</v>
      </c>
      <c r="I754" s="2">
        <f>'Budget Detail FY 2013-20'!R992</f>
        <v>760396</v>
      </c>
      <c r="J754" s="2">
        <f>'Budget Detail FY 2013-20'!S992</f>
        <v>792101</v>
      </c>
      <c r="K754" s="2">
        <f>'Budget Detail FY 2013-20'!T992</f>
        <v>797013</v>
      </c>
    </row>
    <row r="755" spans="2:12" ht="20.100000000000001" customHeight="1">
      <c r="B755" s="507" t="s">
        <v>839</v>
      </c>
      <c r="C755" s="2">
        <f>'Budget Detail FY 2013-20'!L993</f>
        <v>200</v>
      </c>
      <c r="D755" s="2">
        <f>'Budget Detail FY 2013-20'!M993</f>
        <v>71</v>
      </c>
      <c r="E755" s="2">
        <f>'Budget Detail FY 2013-20'!N993</f>
        <v>30</v>
      </c>
      <c r="F755" s="2">
        <f>'Budget Detail FY 2013-20'!O993</f>
        <v>1</v>
      </c>
      <c r="G755" s="2">
        <f>'Budget Detail FY 2013-20'!P993</f>
        <v>30</v>
      </c>
      <c r="H755" s="2">
        <f>'Budget Detail FY 2013-20'!Q993</f>
        <v>0</v>
      </c>
      <c r="I755" s="2">
        <f>'Budget Detail FY 2013-20'!R993</f>
        <v>0</v>
      </c>
      <c r="J755" s="2">
        <f>'Budget Detail FY 2013-20'!S993</f>
        <v>0</v>
      </c>
      <c r="K755" s="2">
        <f>'Budget Detail FY 2013-20'!T993</f>
        <v>0</v>
      </c>
    </row>
    <row r="756" spans="2:12" ht="20.100000000000001" customHeight="1">
      <c r="B756" s="509" t="s">
        <v>842</v>
      </c>
      <c r="C756" s="2">
        <f>'Budget Detail FY 2013-20'!L994</f>
        <v>5469</v>
      </c>
      <c r="D756" s="2">
        <f>'Budget Detail FY 2013-20'!M994</f>
        <v>21185</v>
      </c>
      <c r="E756" s="2">
        <f>'Budget Detail FY 2013-20'!N994</f>
        <v>0</v>
      </c>
      <c r="F756" s="2">
        <f>'Budget Detail FY 2013-20'!O994</f>
        <v>3558</v>
      </c>
      <c r="G756" s="2">
        <f>'Budget Detail FY 2013-20'!P994</f>
        <v>0</v>
      </c>
      <c r="H756" s="2">
        <f>'Budget Detail FY 2013-20'!Q994</f>
        <v>0</v>
      </c>
      <c r="I756" s="2">
        <f>'Budget Detail FY 2013-20'!R994</f>
        <v>0</v>
      </c>
      <c r="J756" s="2">
        <f>'Budget Detail FY 2013-20'!S994</f>
        <v>0</v>
      </c>
      <c r="K756" s="2">
        <f>'Budget Detail FY 2013-20'!T994</f>
        <v>0</v>
      </c>
    </row>
    <row r="757" spans="2:12" ht="20.100000000000001" customHeight="1" thickBot="1">
      <c r="B757" s="153" t="s">
        <v>843</v>
      </c>
      <c r="C757" s="150">
        <f t="shared" ref="C757:J757" si="116">SUM(C754:C756)</f>
        <v>797309</v>
      </c>
      <c r="D757" s="150">
        <f t="shared" si="116"/>
        <v>767720</v>
      </c>
      <c r="E757" s="150">
        <f>SUM(E754:E756)</f>
        <v>731351</v>
      </c>
      <c r="F757" s="150">
        <f t="shared" si="116"/>
        <v>731321</v>
      </c>
      <c r="G757" s="150">
        <f t="shared" si="116"/>
        <v>749876</v>
      </c>
      <c r="H757" s="150">
        <f t="shared" si="116"/>
        <v>752771</v>
      </c>
      <c r="I757" s="150">
        <f t="shared" si="116"/>
        <v>760396</v>
      </c>
      <c r="J757" s="150">
        <f t="shared" si="116"/>
        <v>792101</v>
      </c>
      <c r="K757" s="150">
        <f>SUM(K754:K756)</f>
        <v>797013</v>
      </c>
    </row>
    <row r="758" spans="2:12" s="569" customFormat="1" hidden="1">
      <c r="B758" s="155"/>
      <c r="C758" s="132">
        <f>'Budget Detail FY 2013-20'!L996</f>
        <v>797309</v>
      </c>
      <c r="D758" s="132">
        <f>'Budget Detail FY 2013-20'!M996</f>
        <v>767720</v>
      </c>
      <c r="E758" s="132">
        <f>'Budget Detail FY 2013-20'!N996</f>
        <v>731351</v>
      </c>
      <c r="F758" s="132">
        <f>'Budget Detail FY 2013-20'!O996</f>
        <v>731321</v>
      </c>
      <c r="G758" s="132">
        <f>'Budget Detail FY 2013-20'!P996</f>
        <v>749876</v>
      </c>
      <c r="H758" s="132">
        <f>'Budget Detail FY 2013-20'!Q996</f>
        <v>752771</v>
      </c>
      <c r="I758" s="132">
        <f>'Budget Detail FY 2013-20'!R996</f>
        <v>760396</v>
      </c>
      <c r="J758" s="132">
        <f>'Budget Detail FY 2013-20'!S996</f>
        <v>792101</v>
      </c>
      <c r="K758" s="132">
        <f>'Budget Detail FY 2013-20'!T996</f>
        <v>797013</v>
      </c>
      <c r="L758" s="571" t="s">
        <v>1150</v>
      </c>
    </row>
    <row r="759" spans="2:12" s="570" customFormat="1" hidden="1">
      <c r="B759" s="157"/>
      <c r="C759" s="133">
        <f>C757-C758</f>
        <v>0</v>
      </c>
      <c r="D759" s="133">
        <f t="shared" ref="D759:K759" si="117">D757-D758</f>
        <v>0</v>
      </c>
      <c r="E759" s="133">
        <f t="shared" si="117"/>
        <v>0</v>
      </c>
      <c r="F759" s="133">
        <f t="shared" si="117"/>
        <v>0</v>
      </c>
      <c r="G759" s="133">
        <f t="shared" si="117"/>
        <v>0</v>
      </c>
      <c r="H759" s="133">
        <f t="shared" si="117"/>
        <v>0</v>
      </c>
      <c r="I759" s="133">
        <f t="shared" si="117"/>
        <v>0</v>
      </c>
      <c r="J759" s="133">
        <f t="shared" si="117"/>
        <v>0</v>
      </c>
      <c r="K759" s="133">
        <f t="shared" si="117"/>
        <v>0</v>
      </c>
      <c r="L759" s="571" t="s">
        <v>1151</v>
      </c>
    </row>
    <row r="760" spans="2:12">
      <c r="B760" s="1"/>
      <c r="C760" s="2"/>
      <c r="D760" s="2"/>
      <c r="E760" s="2"/>
      <c r="F760" s="2"/>
      <c r="G760" s="2"/>
      <c r="H760" s="2"/>
      <c r="I760" s="2"/>
      <c r="J760" s="2"/>
      <c r="K760" s="2"/>
    </row>
    <row r="761" spans="2:12">
      <c r="B761" s="158" t="s">
        <v>598</v>
      </c>
      <c r="C761" s="2"/>
      <c r="D761" s="2"/>
      <c r="E761" s="2"/>
      <c r="F761" s="2"/>
      <c r="G761" s="2"/>
      <c r="H761" s="2"/>
      <c r="I761" s="2"/>
      <c r="J761" s="2"/>
      <c r="K761" s="2"/>
    </row>
    <row r="762" spans="2:12" ht="20.100000000000001" customHeight="1">
      <c r="B762" s="509" t="s">
        <v>772</v>
      </c>
      <c r="C762" s="2">
        <f>SUM('Budget Detail FY 2013-20'!L999:L1006)</f>
        <v>795488</v>
      </c>
      <c r="D762" s="2">
        <f>SUM('Budget Detail FY 2013-20'!M999:M1006)</f>
        <v>767720</v>
      </c>
      <c r="E762" s="2">
        <f>SUM('Budget Detail FY 2013-20'!N999:N1006)</f>
        <v>731321</v>
      </c>
      <c r="F762" s="2">
        <f>SUM('Budget Detail FY 2013-20'!O999:O1006)</f>
        <v>731321</v>
      </c>
      <c r="G762" s="2">
        <f>SUM('Budget Detail FY 2013-20'!P999:P1006)</f>
        <v>749846</v>
      </c>
      <c r="H762" s="2">
        <f>SUM('Budget Detail FY 2013-20'!Q999:Q1006)</f>
        <v>752771</v>
      </c>
      <c r="I762" s="2">
        <f>SUM('Budget Detail FY 2013-20'!R999:R1006)</f>
        <v>760396</v>
      </c>
      <c r="J762" s="2">
        <f>SUM('Budget Detail FY 2013-20'!S999:S1006)</f>
        <v>792101</v>
      </c>
      <c r="K762" s="2">
        <f>SUM('Budget Detail FY 2013-20'!T999:T1006)</f>
        <v>797013</v>
      </c>
    </row>
    <row r="763" spans="2:12" ht="20.100000000000001" customHeight="1" thickBot="1">
      <c r="B763" s="153" t="s">
        <v>851</v>
      </c>
      <c r="C763" s="150">
        <f t="shared" ref="C763:J763" si="118">SUM(C762:C762)</f>
        <v>795488</v>
      </c>
      <c r="D763" s="150">
        <f t="shared" si="118"/>
        <v>767720</v>
      </c>
      <c r="E763" s="150">
        <f>SUM(E762:E762)</f>
        <v>731321</v>
      </c>
      <c r="F763" s="150">
        <f t="shared" si="118"/>
        <v>731321</v>
      </c>
      <c r="G763" s="150">
        <f t="shared" si="118"/>
        <v>749846</v>
      </c>
      <c r="H763" s="150">
        <f t="shared" si="118"/>
        <v>752771</v>
      </c>
      <c r="I763" s="150">
        <f t="shared" si="118"/>
        <v>760396</v>
      </c>
      <c r="J763" s="150">
        <f t="shared" si="118"/>
        <v>792101</v>
      </c>
      <c r="K763" s="150">
        <f>SUM(K762:K762)</f>
        <v>797013</v>
      </c>
    </row>
    <row r="764" spans="2:12" s="569" customFormat="1" hidden="1">
      <c r="B764" s="155"/>
      <c r="C764" s="132">
        <f>'Budget Detail FY 2013-20'!L1008</f>
        <v>795488</v>
      </c>
      <c r="D764" s="132">
        <f>'Budget Detail FY 2013-20'!M1008</f>
        <v>767720</v>
      </c>
      <c r="E764" s="132">
        <f>'Budget Detail FY 2013-20'!N1008</f>
        <v>731321</v>
      </c>
      <c r="F764" s="132">
        <f>'Budget Detail FY 2013-20'!O1008</f>
        <v>731321</v>
      </c>
      <c r="G764" s="132">
        <f>'Budget Detail FY 2013-20'!P1008</f>
        <v>749846</v>
      </c>
      <c r="H764" s="132">
        <f>'Budget Detail FY 2013-20'!Q1008</f>
        <v>752771</v>
      </c>
      <c r="I764" s="132">
        <f>'Budget Detail FY 2013-20'!R1008</f>
        <v>760396</v>
      </c>
      <c r="J764" s="132">
        <f>'Budget Detail FY 2013-20'!S1008</f>
        <v>792101</v>
      </c>
      <c r="K764" s="132">
        <f>'Budget Detail FY 2013-20'!T1008</f>
        <v>797013</v>
      </c>
      <c r="L764" s="571" t="s">
        <v>1150</v>
      </c>
    </row>
    <row r="765" spans="2:12" s="570" customFormat="1" hidden="1">
      <c r="B765" s="157"/>
      <c r="C765" s="133">
        <f>C763-C764</f>
        <v>0</v>
      </c>
      <c r="D765" s="133">
        <f t="shared" ref="D765:K765" si="119">D763-D764</f>
        <v>0</v>
      </c>
      <c r="E765" s="133">
        <f t="shared" si="119"/>
        <v>0</v>
      </c>
      <c r="F765" s="133">
        <f t="shared" si="119"/>
        <v>0</v>
      </c>
      <c r="G765" s="133">
        <f t="shared" si="119"/>
        <v>0</v>
      </c>
      <c r="H765" s="133">
        <f t="shared" si="119"/>
        <v>0</v>
      </c>
      <c r="I765" s="133">
        <f t="shared" si="119"/>
        <v>0</v>
      </c>
      <c r="J765" s="133">
        <f t="shared" si="119"/>
        <v>0</v>
      </c>
      <c r="K765" s="133">
        <f t="shared" si="119"/>
        <v>0</v>
      </c>
      <c r="L765" s="571" t="s">
        <v>1151</v>
      </c>
    </row>
    <row r="766" spans="2:12">
      <c r="B766" s="160"/>
      <c r="C766" s="3"/>
      <c r="D766" s="2"/>
      <c r="E766" s="2"/>
      <c r="F766" s="2"/>
      <c r="G766" s="2"/>
      <c r="H766" s="2"/>
      <c r="I766" s="2"/>
      <c r="J766" s="2"/>
      <c r="K766" s="2"/>
    </row>
    <row r="767" spans="2:12" ht="20.100000000000001" customHeight="1">
      <c r="B767" s="510" t="s">
        <v>852</v>
      </c>
      <c r="C767" s="3">
        <f t="shared" ref="C767:J767" si="120">+C757-C763</f>
        <v>1821</v>
      </c>
      <c r="D767" s="3">
        <f t="shared" si="120"/>
        <v>0</v>
      </c>
      <c r="E767" s="3">
        <f>+E757-E763</f>
        <v>30</v>
      </c>
      <c r="F767" s="3">
        <f t="shared" si="120"/>
        <v>0</v>
      </c>
      <c r="G767" s="3">
        <f t="shared" si="120"/>
        <v>30</v>
      </c>
      <c r="H767" s="3">
        <f t="shared" si="120"/>
        <v>0</v>
      </c>
      <c r="I767" s="3">
        <f t="shared" si="120"/>
        <v>0</v>
      </c>
      <c r="J767" s="3">
        <f t="shared" si="120"/>
        <v>0</v>
      </c>
      <c r="K767" s="3">
        <f>+K757-K763</f>
        <v>0</v>
      </c>
    </row>
    <row r="768" spans="2:12" s="569" customFormat="1" hidden="1">
      <c r="B768" s="161"/>
      <c r="C768" s="132">
        <f>'Budget Detail FY 2013-20'!L1010</f>
        <v>1821</v>
      </c>
      <c r="D768" s="132">
        <f>'Budget Detail FY 2013-20'!M1010</f>
        <v>0</v>
      </c>
      <c r="E768" s="132">
        <f>'Budget Detail FY 2013-20'!N1010</f>
        <v>30</v>
      </c>
      <c r="F768" s="132">
        <f>'Budget Detail FY 2013-20'!O1010</f>
        <v>0</v>
      </c>
      <c r="G768" s="132">
        <f>'Budget Detail FY 2013-20'!P1010</f>
        <v>30</v>
      </c>
      <c r="H768" s="132">
        <f>'Budget Detail FY 2013-20'!Q1010</f>
        <v>0</v>
      </c>
      <c r="I768" s="132">
        <f>'Budget Detail FY 2013-20'!R1010</f>
        <v>0</v>
      </c>
      <c r="J768" s="132">
        <f>'Budget Detail FY 2013-20'!S1010</f>
        <v>0</v>
      </c>
      <c r="K768" s="132">
        <f>'Budget Detail FY 2013-20'!T1010</f>
        <v>0</v>
      </c>
      <c r="L768" s="571" t="s">
        <v>1150</v>
      </c>
    </row>
    <row r="769" spans="2:12" s="570" customFormat="1" hidden="1">
      <c r="B769" s="162"/>
      <c r="C769" s="171">
        <f>C767-C768</f>
        <v>0</v>
      </c>
      <c r="D769" s="171">
        <f t="shared" ref="D769:K769" si="121">D767-D768</f>
        <v>0</v>
      </c>
      <c r="E769" s="171">
        <f t="shared" si="121"/>
        <v>0</v>
      </c>
      <c r="F769" s="171">
        <f t="shared" si="121"/>
        <v>0</v>
      </c>
      <c r="G769" s="171">
        <f t="shared" si="121"/>
        <v>0</v>
      </c>
      <c r="H769" s="171">
        <f t="shared" si="121"/>
        <v>0</v>
      </c>
      <c r="I769" s="171">
        <f t="shared" si="121"/>
        <v>0</v>
      </c>
      <c r="J769" s="171">
        <f t="shared" si="121"/>
        <v>0</v>
      </c>
      <c r="K769" s="171">
        <f t="shared" si="121"/>
        <v>0</v>
      </c>
      <c r="L769" s="571" t="s">
        <v>1151</v>
      </c>
    </row>
    <row r="770" spans="2:12">
      <c r="B770" s="164"/>
      <c r="C770" s="3"/>
      <c r="D770" s="2"/>
      <c r="E770" s="2"/>
      <c r="F770" s="2"/>
      <c r="G770" s="2"/>
      <c r="H770" s="2"/>
      <c r="I770" s="2"/>
      <c r="J770" s="2"/>
      <c r="K770" s="2"/>
    </row>
    <row r="771" spans="2:12" ht="20.100000000000001" customHeight="1" thickBot="1">
      <c r="B771" s="152" t="s">
        <v>853</v>
      </c>
      <c r="C771" s="83">
        <v>0</v>
      </c>
      <c r="D771" s="83">
        <v>0</v>
      </c>
      <c r="E771" s="83">
        <v>30</v>
      </c>
      <c r="F771" s="83">
        <f>D771+F767</f>
        <v>0</v>
      </c>
      <c r="G771" s="83">
        <f>F771+G767</f>
        <v>30</v>
      </c>
      <c r="H771" s="83">
        <f>G771+H767</f>
        <v>30</v>
      </c>
      <c r="I771" s="83">
        <f>H771+I767</f>
        <v>30</v>
      </c>
      <c r="J771" s="83">
        <f>I771+J767</f>
        <v>30</v>
      </c>
      <c r="K771" s="83">
        <f>J771+K767</f>
        <v>30</v>
      </c>
    </row>
    <row r="772" spans="2:12" s="569" customFormat="1" ht="15.75" hidden="1" thickTop="1">
      <c r="B772" s="155"/>
      <c r="C772" s="132">
        <f>'Budget Detail FY 2013-20'!L1012</f>
        <v>0</v>
      </c>
      <c r="D772" s="132">
        <f>'Budget Detail FY 2013-20'!M1012</f>
        <v>0</v>
      </c>
      <c r="E772" s="132">
        <f>'Budget Detail FY 2013-20'!N1012</f>
        <v>30</v>
      </c>
      <c r="F772" s="132">
        <f>'Budget Detail FY 2013-20'!O1012</f>
        <v>0</v>
      </c>
      <c r="G772" s="132">
        <f>'Budget Detail FY 2013-20'!P1012</f>
        <v>30</v>
      </c>
      <c r="H772" s="132">
        <f>'Budget Detail FY 2013-20'!Q1012</f>
        <v>30</v>
      </c>
      <c r="I772" s="132">
        <f>'Budget Detail FY 2013-20'!R1012</f>
        <v>30</v>
      </c>
      <c r="J772" s="132">
        <f>'Budget Detail FY 2013-20'!S1012</f>
        <v>30</v>
      </c>
      <c r="K772" s="132">
        <f>'Budget Detail FY 2013-20'!T1012</f>
        <v>30</v>
      </c>
      <c r="L772" s="571" t="s">
        <v>1150</v>
      </c>
    </row>
    <row r="773" spans="2:12" s="570" customFormat="1" hidden="1">
      <c r="B773" s="157"/>
      <c r="C773" s="133">
        <f>C771-C772</f>
        <v>0</v>
      </c>
      <c r="D773" s="133">
        <f t="shared" ref="D773:K773" si="122">D771-D772</f>
        <v>0</v>
      </c>
      <c r="E773" s="133">
        <f t="shared" si="122"/>
        <v>0</v>
      </c>
      <c r="F773" s="133">
        <f t="shared" si="122"/>
        <v>0</v>
      </c>
      <c r="G773" s="133">
        <f t="shared" si="122"/>
        <v>0</v>
      </c>
      <c r="H773" s="133">
        <f t="shared" si="122"/>
        <v>0</v>
      </c>
      <c r="I773" s="133">
        <f t="shared" si="122"/>
        <v>0</v>
      </c>
      <c r="J773" s="133">
        <f t="shared" si="122"/>
        <v>0</v>
      </c>
      <c r="K773" s="133">
        <f t="shared" si="122"/>
        <v>0</v>
      </c>
      <c r="L773" s="571" t="s">
        <v>1151</v>
      </c>
    </row>
    <row r="774" spans="2:12" ht="15.75" thickTop="1">
      <c r="B774" s="165"/>
      <c r="C774" s="3"/>
      <c r="D774" s="3"/>
      <c r="E774" s="3"/>
      <c r="F774" s="3"/>
      <c r="G774" s="3"/>
      <c r="H774" s="2"/>
      <c r="I774" s="2"/>
      <c r="J774" s="2"/>
      <c r="K774" s="2"/>
    </row>
    <row r="775" spans="2:12">
      <c r="B775" s="165"/>
      <c r="C775" s="2"/>
      <c r="D775" s="2"/>
      <c r="E775" s="2"/>
      <c r="F775" s="2"/>
      <c r="G775" s="2"/>
      <c r="H775" s="2"/>
      <c r="I775" s="2"/>
      <c r="J775" s="2"/>
      <c r="K775" s="2"/>
    </row>
    <row r="776" spans="2:12">
      <c r="B776" s="1"/>
      <c r="C776" s="2"/>
      <c r="D776" s="2"/>
      <c r="E776" s="2"/>
      <c r="F776" s="2"/>
      <c r="G776" s="2"/>
      <c r="H776" s="2"/>
      <c r="I776" s="2"/>
      <c r="J776" s="2"/>
      <c r="K776" s="2"/>
    </row>
    <row r="777" spans="2:12">
      <c r="B777" s="1"/>
      <c r="C777" s="2"/>
      <c r="D777" s="2"/>
      <c r="E777" s="2"/>
      <c r="F777" s="2"/>
      <c r="G777" s="2"/>
      <c r="H777" s="2"/>
      <c r="I777" s="2"/>
      <c r="J777" s="2"/>
      <c r="K777" s="2"/>
    </row>
    <row r="778" spans="2:12">
      <c r="B778" s="1"/>
      <c r="C778" s="2"/>
      <c r="D778" s="2"/>
      <c r="E778" s="2"/>
      <c r="F778" s="2"/>
      <c r="G778" s="2"/>
      <c r="H778" s="2"/>
      <c r="I778" s="2"/>
      <c r="J778" s="2"/>
      <c r="K778" s="2"/>
    </row>
    <row r="779" spans="2:12">
      <c r="B779" s="1"/>
      <c r="C779" s="2"/>
      <c r="D779" s="2"/>
      <c r="E779" s="2"/>
      <c r="F779" s="2"/>
      <c r="G779" s="2"/>
      <c r="H779" s="2"/>
      <c r="I779" s="2"/>
      <c r="J779" s="2"/>
      <c r="K779" s="2"/>
    </row>
    <row r="780" spans="2:12">
      <c r="B780" s="1"/>
      <c r="C780" s="2"/>
      <c r="D780" s="2"/>
      <c r="E780" s="2"/>
      <c r="F780" s="2"/>
      <c r="G780" s="2"/>
      <c r="H780" s="2"/>
      <c r="I780" s="2"/>
      <c r="J780" s="2"/>
      <c r="K780" s="2"/>
    </row>
    <row r="781" spans="2:12">
      <c r="B781" s="1"/>
      <c r="C781" s="2"/>
      <c r="D781" s="2"/>
      <c r="E781" s="2"/>
      <c r="F781" s="2"/>
      <c r="G781" s="2"/>
      <c r="H781" s="2"/>
      <c r="I781" s="2"/>
      <c r="J781" s="2"/>
      <c r="K781" s="2"/>
    </row>
    <row r="782" spans="2:12">
      <c r="B782" s="1"/>
      <c r="C782" s="2"/>
      <c r="D782" s="2"/>
      <c r="E782" s="2"/>
      <c r="F782" s="2"/>
      <c r="G782" s="2"/>
      <c r="H782" s="2"/>
      <c r="I782" s="2"/>
      <c r="J782" s="2"/>
      <c r="K782" s="2"/>
    </row>
    <row r="783" spans="2:12">
      <c r="B783" s="1"/>
      <c r="C783" s="2"/>
      <c r="D783" s="2"/>
      <c r="E783" s="2"/>
      <c r="F783" s="2"/>
      <c r="G783" s="2"/>
      <c r="H783" s="2"/>
      <c r="I783" s="2"/>
      <c r="J783" s="2"/>
      <c r="K783" s="2"/>
    </row>
    <row r="784" spans="2:12">
      <c r="B784" s="1"/>
      <c r="C784" s="2"/>
      <c r="D784" s="2"/>
      <c r="E784" s="2"/>
      <c r="F784" s="2"/>
      <c r="G784" s="2"/>
      <c r="H784" s="2"/>
      <c r="I784" s="2"/>
      <c r="J784" s="2"/>
      <c r="K784" s="2"/>
    </row>
    <row r="785" spans="2:11">
      <c r="B785" s="1"/>
      <c r="C785" s="2"/>
      <c r="D785" s="2"/>
      <c r="E785" s="2"/>
      <c r="F785" s="2"/>
      <c r="G785" s="2"/>
      <c r="H785" s="2"/>
      <c r="I785" s="2"/>
      <c r="J785" s="2"/>
      <c r="K785" s="2"/>
    </row>
    <row r="786" spans="2:11">
      <c r="B786" s="1"/>
      <c r="C786" s="2"/>
      <c r="D786" s="2"/>
      <c r="E786" s="2"/>
      <c r="F786" s="2"/>
      <c r="G786" s="2"/>
      <c r="H786" s="2"/>
      <c r="I786" s="2"/>
      <c r="J786" s="2"/>
      <c r="K786" s="2"/>
    </row>
    <row r="787" spans="2:11">
      <c r="B787" s="1"/>
      <c r="C787" s="2"/>
      <c r="D787" s="2"/>
      <c r="E787" s="2"/>
      <c r="F787" s="2"/>
      <c r="G787" s="2"/>
      <c r="H787" s="2"/>
      <c r="I787" s="2"/>
      <c r="J787" s="2"/>
      <c r="K787" s="2"/>
    </row>
    <row r="790" spans="2:11">
      <c r="B790" s="740" t="s">
        <v>878</v>
      </c>
      <c r="C790" s="740"/>
      <c r="D790" s="740"/>
      <c r="E790" s="740"/>
      <c r="F790" s="740"/>
      <c r="G790" s="740"/>
      <c r="H790" s="740"/>
      <c r="I790" s="740"/>
      <c r="J790" s="740"/>
      <c r="K790" s="740"/>
    </row>
    <row r="791" spans="2:11">
      <c r="B791" s="65" t="s">
        <v>806</v>
      </c>
      <c r="C791" s="3"/>
      <c r="D791" s="2"/>
      <c r="E791" s="2"/>
      <c r="F791" s="2"/>
      <c r="G791" s="2"/>
      <c r="H791" s="2"/>
      <c r="I791" s="2"/>
      <c r="J791" s="2"/>
      <c r="K791" s="2"/>
    </row>
    <row r="792" spans="2:11" ht="12.75" customHeight="1">
      <c r="B792" s="731" t="s">
        <v>1155</v>
      </c>
      <c r="C792" s="731"/>
      <c r="D792" s="731"/>
      <c r="E792" s="731"/>
      <c r="F792" s="731"/>
      <c r="G792" s="731"/>
      <c r="H792" s="731"/>
      <c r="I792" s="731"/>
      <c r="J792" s="731"/>
      <c r="K792" s="731"/>
    </row>
    <row r="793" spans="2:11" ht="18" customHeight="1">
      <c r="B793" s="731"/>
      <c r="C793" s="731"/>
      <c r="D793" s="731"/>
      <c r="E793" s="731"/>
      <c r="F793" s="731"/>
      <c r="G793" s="731"/>
      <c r="H793" s="731"/>
      <c r="I793" s="731"/>
      <c r="J793" s="731"/>
      <c r="K793" s="731"/>
    </row>
    <row r="794" spans="2:11">
      <c r="B794" s="563"/>
      <c r="C794" s="22"/>
      <c r="D794" s="22"/>
      <c r="E794" s="22"/>
      <c r="F794" s="22"/>
      <c r="G794" s="22"/>
      <c r="H794" s="2"/>
      <c r="I794" s="2"/>
      <c r="J794" s="2"/>
      <c r="K794" s="2"/>
    </row>
    <row r="795" spans="2:11">
      <c r="B795" s="5"/>
      <c r="C795" s="65"/>
      <c r="D795" s="66"/>
      <c r="E795" s="65" t="s">
        <v>270</v>
      </c>
      <c r="F795" s="1"/>
      <c r="G795" s="1"/>
      <c r="H795" s="1"/>
      <c r="I795" s="1"/>
      <c r="J795" s="1"/>
      <c r="K795" s="1"/>
    </row>
    <row r="796" spans="2:11">
      <c r="B796" s="66"/>
      <c r="C796" s="65" t="s">
        <v>257</v>
      </c>
      <c r="D796" s="49" t="s">
        <v>258</v>
      </c>
      <c r="E796" s="66" t="s">
        <v>832</v>
      </c>
      <c r="F796" s="66" t="s">
        <v>270</v>
      </c>
      <c r="G796" s="66" t="s">
        <v>271</v>
      </c>
      <c r="H796" s="66" t="s">
        <v>272</v>
      </c>
      <c r="I796" s="66" t="s">
        <v>996</v>
      </c>
      <c r="J796" s="66" t="s">
        <v>1101</v>
      </c>
      <c r="K796" s="66" t="s">
        <v>1136</v>
      </c>
    </row>
    <row r="797" spans="2:11" ht="15.75" thickBot="1">
      <c r="B797" s="169"/>
      <c r="C797" s="68" t="s">
        <v>1</v>
      </c>
      <c r="D797" s="68" t="s">
        <v>1</v>
      </c>
      <c r="E797" s="68" t="s">
        <v>787</v>
      </c>
      <c r="F797" s="68" t="s">
        <v>19</v>
      </c>
      <c r="G797" s="68" t="s">
        <v>832</v>
      </c>
      <c r="H797" s="68" t="s">
        <v>19</v>
      </c>
      <c r="I797" s="68" t="s">
        <v>19</v>
      </c>
      <c r="J797" s="68" t="s">
        <v>19</v>
      </c>
      <c r="K797" s="68" t="s">
        <v>19</v>
      </c>
    </row>
    <row r="798" spans="2:11">
      <c r="B798" s="64"/>
      <c r="C798" s="170"/>
      <c r="D798" s="2"/>
      <c r="E798" s="2"/>
      <c r="F798" s="2"/>
      <c r="G798" s="2"/>
      <c r="H798" s="2"/>
      <c r="I798" s="2"/>
      <c r="J798" s="2"/>
      <c r="K798" s="2"/>
    </row>
    <row r="799" spans="2:11">
      <c r="B799" s="158" t="s">
        <v>833</v>
      </c>
      <c r="C799" s="2"/>
      <c r="D799" s="2"/>
      <c r="E799" s="2"/>
      <c r="F799" s="2"/>
      <c r="G799" s="2"/>
      <c r="H799" s="2"/>
      <c r="I799" s="2"/>
      <c r="J799" s="2"/>
      <c r="K799" s="2"/>
    </row>
    <row r="800" spans="2:11" ht="20.100000000000001" customHeight="1">
      <c r="B800" s="507" t="s">
        <v>836</v>
      </c>
      <c r="C800" s="2">
        <f>'Budget Detail FY 2013-20'!L1016</f>
        <v>35200</v>
      </c>
      <c r="D800" s="2">
        <f>'Budget Detail FY 2013-20'!M1016</f>
        <v>53650</v>
      </c>
      <c r="E800" s="2">
        <f>'Budget Detail FY 2013-20'!N1016</f>
        <v>20000</v>
      </c>
      <c r="F800" s="2">
        <f>'Budget Detail FY 2013-20'!O1016</f>
        <v>20000</v>
      </c>
      <c r="G800" s="2">
        <f>'Budget Detail FY 2013-20'!P1016</f>
        <v>20000</v>
      </c>
      <c r="H800" s="2">
        <f>'Budget Detail FY 2013-20'!Q1016</f>
        <v>20000</v>
      </c>
      <c r="I800" s="2">
        <f>'Budget Detail FY 2013-20'!R1016</f>
        <v>20000</v>
      </c>
      <c r="J800" s="2">
        <f>'Budget Detail FY 2013-20'!S1016</f>
        <v>20000</v>
      </c>
      <c r="K800" s="2">
        <f>'Budget Detail FY 2013-20'!T1016</f>
        <v>20000</v>
      </c>
    </row>
    <row r="801" spans="2:12" ht="20.100000000000001" customHeight="1">
      <c r="B801" s="507" t="s">
        <v>839</v>
      </c>
      <c r="C801" s="2">
        <f>'Budget Detail FY 2013-20'!L1017</f>
        <v>8</v>
      </c>
      <c r="D801" s="2">
        <f>'Budget Detail FY 2013-20'!M1017</f>
        <v>16</v>
      </c>
      <c r="E801" s="2">
        <f>'Budget Detail FY 2013-20'!N1017</f>
        <v>20</v>
      </c>
      <c r="F801" s="2">
        <f>'Budget Detail FY 2013-20'!O1017</f>
        <v>10</v>
      </c>
      <c r="G801" s="2">
        <f>'Budget Detail FY 2013-20'!P1017</f>
        <v>20</v>
      </c>
      <c r="H801" s="2">
        <f>'Budget Detail FY 2013-20'!Q1017</f>
        <v>10</v>
      </c>
      <c r="I801" s="2">
        <f>'Budget Detail FY 2013-20'!R1017</f>
        <v>10</v>
      </c>
      <c r="J801" s="2">
        <f>'Budget Detail FY 2013-20'!S1017</f>
        <v>10</v>
      </c>
      <c r="K801" s="2">
        <f>'Budget Detail FY 2013-20'!T1017</f>
        <v>10</v>
      </c>
    </row>
    <row r="802" spans="2:12" ht="20.100000000000001" customHeight="1" thickBot="1">
      <c r="B802" s="153" t="s">
        <v>843</v>
      </c>
      <c r="C802" s="150">
        <f t="shared" ref="C802:K802" si="123">SUM(C800:C801)</f>
        <v>35208</v>
      </c>
      <c r="D802" s="150">
        <f t="shared" si="123"/>
        <v>53666</v>
      </c>
      <c r="E802" s="150">
        <f t="shared" si="123"/>
        <v>20020</v>
      </c>
      <c r="F802" s="150">
        <f t="shared" si="123"/>
        <v>20010</v>
      </c>
      <c r="G802" s="150">
        <f t="shared" si="123"/>
        <v>20020</v>
      </c>
      <c r="H802" s="150">
        <f t="shared" si="123"/>
        <v>20010</v>
      </c>
      <c r="I802" s="150">
        <f t="shared" si="123"/>
        <v>20010</v>
      </c>
      <c r="J802" s="150">
        <f t="shared" si="123"/>
        <v>20010</v>
      </c>
      <c r="K802" s="150">
        <f t="shared" si="123"/>
        <v>20010</v>
      </c>
    </row>
    <row r="803" spans="2:12" s="569" customFormat="1" hidden="1">
      <c r="B803" s="155"/>
      <c r="C803" s="132">
        <f>'Budget Detail FY 2013-20'!L1019</f>
        <v>35208</v>
      </c>
      <c r="D803" s="132">
        <f>'Budget Detail FY 2013-20'!M1019</f>
        <v>53666</v>
      </c>
      <c r="E803" s="132">
        <f>'Budget Detail FY 2013-20'!N1019</f>
        <v>20020</v>
      </c>
      <c r="F803" s="132">
        <f>'Budget Detail FY 2013-20'!O1019</f>
        <v>20010</v>
      </c>
      <c r="G803" s="132">
        <f>'Budget Detail FY 2013-20'!P1019</f>
        <v>20020</v>
      </c>
      <c r="H803" s="132">
        <f>'Budget Detail FY 2013-20'!Q1019</f>
        <v>20010</v>
      </c>
      <c r="I803" s="132">
        <f>'Budget Detail FY 2013-20'!R1019</f>
        <v>20010</v>
      </c>
      <c r="J803" s="132">
        <f>'Budget Detail FY 2013-20'!S1019</f>
        <v>20010</v>
      </c>
      <c r="K803" s="132">
        <f>'Budget Detail FY 2013-20'!T1019</f>
        <v>20010</v>
      </c>
      <c r="L803" s="571" t="s">
        <v>1150</v>
      </c>
    </row>
    <row r="804" spans="2:12" s="570" customFormat="1" hidden="1">
      <c r="B804" s="157"/>
      <c r="C804" s="171">
        <f>C802-C803</f>
        <v>0</v>
      </c>
      <c r="D804" s="171">
        <f t="shared" ref="D804:K804" si="124">D802-D803</f>
        <v>0</v>
      </c>
      <c r="E804" s="171">
        <f t="shared" si="124"/>
        <v>0</v>
      </c>
      <c r="F804" s="171">
        <f t="shared" si="124"/>
        <v>0</v>
      </c>
      <c r="G804" s="171">
        <f t="shared" si="124"/>
        <v>0</v>
      </c>
      <c r="H804" s="171">
        <f t="shared" si="124"/>
        <v>0</v>
      </c>
      <c r="I804" s="171">
        <f t="shared" si="124"/>
        <v>0</v>
      </c>
      <c r="J804" s="171">
        <f t="shared" si="124"/>
        <v>0</v>
      </c>
      <c r="K804" s="171">
        <f t="shared" si="124"/>
        <v>0</v>
      </c>
      <c r="L804" s="571" t="s">
        <v>1151</v>
      </c>
    </row>
    <row r="805" spans="2:12">
      <c r="B805" s="1"/>
      <c r="C805" s="2"/>
      <c r="D805" s="2"/>
      <c r="E805" s="2"/>
      <c r="F805" s="2"/>
      <c r="G805" s="2"/>
      <c r="H805" s="2"/>
      <c r="I805" s="2"/>
      <c r="J805" s="2"/>
      <c r="K805" s="2"/>
    </row>
    <row r="806" spans="2:12">
      <c r="B806" s="158" t="s">
        <v>598</v>
      </c>
      <c r="C806" s="2"/>
      <c r="D806" s="2"/>
      <c r="E806" s="2"/>
      <c r="F806" s="2"/>
      <c r="G806" s="2"/>
      <c r="H806" s="2"/>
      <c r="I806" s="2"/>
      <c r="J806" s="2"/>
      <c r="K806" s="2"/>
    </row>
    <row r="807" spans="2:12" ht="20.100000000000001" customHeight="1">
      <c r="B807" s="508" t="s">
        <v>846</v>
      </c>
      <c r="C807" s="2">
        <f>'Budget Detail FY 2013-20'!L1021</f>
        <v>0</v>
      </c>
      <c r="D807" s="2">
        <f>'Budget Detail FY 2013-20'!M1021</f>
        <v>3000</v>
      </c>
      <c r="E807" s="2">
        <f>'Budget Detail FY 2013-20'!N1021</f>
        <v>3500</v>
      </c>
      <c r="F807" s="2">
        <f>'Budget Detail FY 2013-20'!O1021</f>
        <v>3500</v>
      </c>
      <c r="G807" s="2">
        <f>'Budget Detail FY 2013-20'!P1021</f>
        <v>3500</v>
      </c>
      <c r="H807" s="2">
        <f>'Budget Detail FY 2013-20'!Q1021</f>
        <v>3500</v>
      </c>
      <c r="I807" s="2">
        <f>'Budget Detail FY 2013-20'!R1021</f>
        <v>3500</v>
      </c>
      <c r="J807" s="2">
        <f>'Budget Detail FY 2013-20'!S1021</f>
        <v>3500</v>
      </c>
      <c r="K807" s="2">
        <f>'Budget Detail FY 2013-20'!T1021</f>
        <v>3500</v>
      </c>
    </row>
    <row r="808" spans="2:12" ht="20.100000000000001" customHeight="1">
      <c r="B808" s="508" t="s">
        <v>847</v>
      </c>
      <c r="C808" s="2">
        <f>SUM('Budget Detail FY 2013-20'!L1022:L1026)</f>
        <v>26312</v>
      </c>
      <c r="D808" s="2">
        <f>SUM('Budget Detail FY 2013-20'!M1022:M1026)</f>
        <v>39484</v>
      </c>
      <c r="E808" s="2">
        <f>SUM('Budget Detail FY 2013-20'!N1022:N1026)</f>
        <v>51515</v>
      </c>
      <c r="F808" s="2">
        <f>SUM('Budget Detail FY 2013-20'!O1022:O1026)</f>
        <v>51515</v>
      </c>
      <c r="G808" s="2">
        <f>SUM('Budget Detail FY 2013-20'!P1022:P1026)</f>
        <v>8395</v>
      </c>
      <c r="H808" s="2">
        <f>SUM('Budget Detail FY 2013-20'!Q1022:Q1026)</f>
        <v>16500</v>
      </c>
      <c r="I808" s="2">
        <f>SUM('Budget Detail FY 2013-20'!R1022:R1026)</f>
        <v>16510</v>
      </c>
      <c r="J808" s="2">
        <f>SUM('Budget Detail FY 2013-20'!S1022:S1026)</f>
        <v>16510</v>
      </c>
      <c r="K808" s="2">
        <f>SUM('Budget Detail FY 2013-20'!T1022:T1026)</f>
        <v>16510</v>
      </c>
    </row>
    <row r="809" spans="2:12" ht="20.100000000000001" customHeight="1" thickBot="1">
      <c r="B809" s="153" t="s">
        <v>851</v>
      </c>
      <c r="C809" s="150">
        <f t="shared" ref="C809:K809" si="125">SUM(C807:C808)</f>
        <v>26312</v>
      </c>
      <c r="D809" s="150">
        <f t="shared" si="125"/>
        <v>42484</v>
      </c>
      <c r="E809" s="150">
        <f t="shared" si="125"/>
        <v>55015</v>
      </c>
      <c r="F809" s="150">
        <f t="shared" si="125"/>
        <v>55015</v>
      </c>
      <c r="G809" s="150">
        <f t="shared" si="125"/>
        <v>11895</v>
      </c>
      <c r="H809" s="150">
        <f t="shared" si="125"/>
        <v>20000</v>
      </c>
      <c r="I809" s="150">
        <f t="shared" si="125"/>
        <v>20010</v>
      </c>
      <c r="J809" s="150">
        <f t="shared" si="125"/>
        <v>20010</v>
      </c>
      <c r="K809" s="150">
        <f t="shared" si="125"/>
        <v>20010</v>
      </c>
    </row>
    <row r="810" spans="2:12" s="569" customFormat="1" hidden="1">
      <c r="B810" s="155"/>
      <c r="C810" s="132">
        <f>'Budget Detail FY 2013-20'!L1028</f>
        <v>26312</v>
      </c>
      <c r="D810" s="132">
        <f>'Budget Detail FY 2013-20'!M1028</f>
        <v>42484</v>
      </c>
      <c r="E810" s="132">
        <f>'Budget Detail FY 2013-20'!N1028</f>
        <v>55015</v>
      </c>
      <c r="F810" s="132">
        <f>'Budget Detail FY 2013-20'!O1028</f>
        <v>55015</v>
      </c>
      <c r="G810" s="132">
        <f>'Budget Detail FY 2013-20'!P1028</f>
        <v>11895</v>
      </c>
      <c r="H810" s="132">
        <f>'Budget Detail FY 2013-20'!Q1028</f>
        <v>20000</v>
      </c>
      <c r="I810" s="132">
        <f>'Budget Detail FY 2013-20'!R1028</f>
        <v>20010</v>
      </c>
      <c r="J810" s="132">
        <f>'Budget Detail FY 2013-20'!S1028</f>
        <v>20010</v>
      </c>
      <c r="K810" s="132">
        <f>'Budget Detail FY 2013-20'!T1028</f>
        <v>20010</v>
      </c>
      <c r="L810" s="571" t="s">
        <v>1150</v>
      </c>
    </row>
    <row r="811" spans="2:12" s="570" customFormat="1" hidden="1">
      <c r="B811" s="157"/>
      <c r="C811" s="133">
        <f>C809-C810</f>
        <v>0</v>
      </c>
      <c r="D811" s="133">
        <f t="shared" ref="D811:K811" si="126">D809-D810</f>
        <v>0</v>
      </c>
      <c r="E811" s="133">
        <f t="shared" si="126"/>
        <v>0</v>
      </c>
      <c r="F811" s="133">
        <f t="shared" si="126"/>
        <v>0</v>
      </c>
      <c r="G811" s="133">
        <f t="shared" si="126"/>
        <v>0</v>
      </c>
      <c r="H811" s="133">
        <f t="shared" si="126"/>
        <v>0</v>
      </c>
      <c r="I811" s="133">
        <f t="shared" si="126"/>
        <v>0</v>
      </c>
      <c r="J811" s="133">
        <f t="shared" si="126"/>
        <v>0</v>
      </c>
      <c r="K811" s="133">
        <f t="shared" si="126"/>
        <v>0</v>
      </c>
      <c r="L811" s="571" t="s">
        <v>1151</v>
      </c>
    </row>
    <row r="812" spans="2:12">
      <c r="B812" s="160"/>
      <c r="C812" s="3"/>
      <c r="D812" s="2"/>
      <c r="E812" s="2"/>
      <c r="F812" s="2"/>
      <c r="G812" s="2"/>
      <c r="H812" s="2"/>
      <c r="I812" s="2"/>
      <c r="J812" s="2"/>
      <c r="K812" s="2"/>
    </row>
    <row r="813" spans="2:12" ht="20.100000000000001" customHeight="1">
      <c r="B813" s="510" t="s">
        <v>852</v>
      </c>
      <c r="C813" s="3">
        <f t="shared" ref="C813:K813" si="127">C802-C809</f>
        <v>8896</v>
      </c>
      <c r="D813" s="3">
        <f t="shared" si="127"/>
        <v>11182</v>
      </c>
      <c r="E813" s="3">
        <f t="shared" si="127"/>
        <v>-34995</v>
      </c>
      <c r="F813" s="3">
        <f t="shared" si="127"/>
        <v>-35005</v>
      </c>
      <c r="G813" s="3">
        <f t="shared" si="127"/>
        <v>8125</v>
      </c>
      <c r="H813" s="3">
        <f t="shared" si="127"/>
        <v>10</v>
      </c>
      <c r="I813" s="3">
        <f t="shared" si="127"/>
        <v>0</v>
      </c>
      <c r="J813" s="3">
        <f t="shared" si="127"/>
        <v>0</v>
      </c>
      <c r="K813" s="3">
        <f t="shared" si="127"/>
        <v>0</v>
      </c>
    </row>
    <row r="814" spans="2:12" s="569" customFormat="1" hidden="1">
      <c r="B814" s="161"/>
      <c r="C814" s="132">
        <f>'Budget Detail FY 2013-20'!L1030</f>
        <v>8896</v>
      </c>
      <c r="D814" s="132">
        <f>'Budget Detail FY 2013-20'!M1030</f>
        <v>11182</v>
      </c>
      <c r="E814" s="132">
        <f>'Budget Detail FY 2013-20'!N1030</f>
        <v>-34995</v>
      </c>
      <c r="F814" s="132">
        <f>'Budget Detail FY 2013-20'!O1030</f>
        <v>-35005</v>
      </c>
      <c r="G814" s="132">
        <f>'Budget Detail FY 2013-20'!P1030</f>
        <v>8125</v>
      </c>
      <c r="H814" s="132">
        <f>'Budget Detail FY 2013-20'!Q1030</f>
        <v>10</v>
      </c>
      <c r="I814" s="132">
        <f>'Budget Detail FY 2013-20'!R1030</f>
        <v>0</v>
      </c>
      <c r="J814" s="132">
        <f>'Budget Detail FY 2013-20'!S1030</f>
        <v>0</v>
      </c>
      <c r="K814" s="132">
        <f>'Budget Detail FY 2013-20'!T1030</f>
        <v>0</v>
      </c>
      <c r="L814" s="571" t="s">
        <v>1150</v>
      </c>
    </row>
    <row r="815" spans="2:12" s="570" customFormat="1" hidden="1">
      <c r="B815" s="162"/>
      <c r="C815" s="171">
        <f>C813-C814</f>
        <v>0</v>
      </c>
      <c r="D815" s="171">
        <f t="shared" ref="D815:K815" si="128">D813-D814</f>
        <v>0</v>
      </c>
      <c r="E815" s="171">
        <f t="shared" si="128"/>
        <v>0</v>
      </c>
      <c r="F815" s="171">
        <f t="shared" si="128"/>
        <v>0</v>
      </c>
      <c r="G815" s="171">
        <f t="shared" si="128"/>
        <v>0</v>
      </c>
      <c r="H815" s="171">
        <f t="shared" si="128"/>
        <v>0</v>
      </c>
      <c r="I815" s="171">
        <f t="shared" si="128"/>
        <v>0</v>
      </c>
      <c r="J815" s="171">
        <f t="shared" si="128"/>
        <v>0</v>
      </c>
      <c r="K815" s="171">
        <f t="shared" si="128"/>
        <v>0</v>
      </c>
      <c r="L815" s="571" t="s">
        <v>1151</v>
      </c>
    </row>
    <row r="816" spans="2:12">
      <c r="B816" s="164"/>
      <c r="C816" s="3"/>
      <c r="D816" s="2"/>
      <c r="E816" s="2"/>
      <c r="F816" s="2"/>
      <c r="G816" s="2"/>
      <c r="H816" s="2"/>
      <c r="I816" s="2"/>
      <c r="J816" s="2"/>
      <c r="K816" s="2"/>
    </row>
    <row r="817" spans="2:12" ht="20.100000000000001" customHeight="1" thickBot="1">
      <c r="B817" s="152" t="s">
        <v>853</v>
      </c>
      <c r="C817" s="83">
        <v>15689</v>
      </c>
      <c r="D817" s="83">
        <v>26870</v>
      </c>
      <c r="E817" s="83">
        <v>0</v>
      </c>
      <c r="F817" s="83">
        <f>D817+F813</f>
        <v>-8135</v>
      </c>
      <c r="G817" s="83">
        <f>F817+G813</f>
        <v>-10</v>
      </c>
      <c r="H817" s="83">
        <f>G817+H813</f>
        <v>0</v>
      </c>
      <c r="I817" s="83">
        <f>H817+I813</f>
        <v>0</v>
      </c>
      <c r="J817" s="83">
        <f>I817+J813</f>
        <v>0</v>
      </c>
      <c r="K817" s="83">
        <f>J817+K813</f>
        <v>0</v>
      </c>
    </row>
    <row r="818" spans="2:12" s="569" customFormat="1" ht="15.75" hidden="1" thickTop="1">
      <c r="B818" s="155"/>
      <c r="C818" s="132">
        <f>'Budget Detail FY 2013-20'!L1032</f>
        <v>15689</v>
      </c>
      <c r="D818" s="132">
        <f>'Budget Detail FY 2013-20'!M1032</f>
        <v>26870</v>
      </c>
      <c r="E818" s="132">
        <f>'Budget Detail FY 2013-20'!N1032</f>
        <v>0</v>
      </c>
      <c r="F818" s="132">
        <f>'Budget Detail FY 2013-20'!O1032</f>
        <v>-8135</v>
      </c>
      <c r="G818" s="132">
        <f>'Budget Detail FY 2013-20'!P1032</f>
        <v>-10</v>
      </c>
      <c r="H818" s="132">
        <f>'Budget Detail FY 2013-20'!Q1032</f>
        <v>0</v>
      </c>
      <c r="I818" s="132">
        <f>'Budget Detail FY 2013-20'!R1032</f>
        <v>0</v>
      </c>
      <c r="J818" s="132">
        <f>'Budget Detail FY 2013-20'!S1032</f>
        <v>0</v>
      </c>
      <c r="K818" s="132">
        <f>'Budget Detail FY 2013-20'!T1032</f>
        <v>0</v>
      </c>
      <c r="L818" s="571" t="s">
        <v>1150</v>
      </c>
    </row>
    <row r="819" spans="2:12" s="570" customFormat="1" hidden="1">
      <c r="B819" s="157"/>
      <c r="C819" s="133">
        <f>C817-C818</f>
        <v>0</v>
      </c>
      <c r="D819" s="133">
        <f t="shared" ref="D819:K819" si="129">D817-D818</f>
        <v>0</v>
      </c>
      <c r="E819" s="133">
        <f t="shared" si="129"/>
        <v>0</v>
      </c>
      <c r="F819" s="133">
        <f t="shared" si="129"/>
        <v>0</v>
      </c>
      <c r="G819" s="133">
        <f t="shared" si="129"/>
        <v>0</v>
      </c>
      <c r="H819" s="133">
        <f t="shared" si="129"/>
        <v>0</v>
      </c>
      <c r="I819" s="133">
        <f t="shared" si="129"/>
        <v>0</v>
      </c>
      <c r="J819" s="133">
        <f t="shared" si="129"/>
        <v>0</v>
      </c>
      <c r="K819" s="133">
        <f t="shared" si="129"/>
        <v>0</v>
      </c>
      <c r="L819" s="571" t="s">
        <v>1151</v>
      </c>
    </row>
    <row r="820" spans="2:12" ht="15.75" thickTop="1">
      <c r="B820" s="165"/>
      <c r="C820" s="3"/>
      <c r="D820" s="3"/>
      <c r="E820" s="3"/>
      <c r="F820" s="3"/>
      <c r="G820" s="3"/>
      <c r="H820" s="2"/>
      <c r="I820" s="2"/>
      <c r="J820" s="2"/>
      <c r="K820" s="2"/>
    </row>
    <row r="821" spans="2:12">
      <c r="B821" s="165"/>
      <c r="C821" s="2"/>
      <c r="D821" s="2"/>
      <c r="E821" s="2"/>
      <c r="F821" s="2"/>
      <c r="G821" s="2"/>
      <c r="H821" s="2"/>
      <c r="I821" s="2"/>
      <c r="J821" s="2"/>
      <c r="K821" s="2"/>
    </row>
    <row r="822" spans="2:12">
      <c r="B822" s="1"/>
      <c r="C822" s="2"/>
      <c r="D822" s="2"/>
      <c r="E822" s="2"/>
      <c r="F822" s="2"/>
      <c r="G822" s="2"/>
      <c r="H822" s="2"/>
      <c r="I822" s="2"/>
      <c r="J822" s="2"/>
      <c r="K822" s="2"/>
    </row>
    <row r="823" spans="2:12">
      <c r="B823" s="1"/>
      <c r="C823" s="2"/>
      <c r="D823" s="2"/>
      <c r="E823" s="2"/>
      <c r="F823" s="2"/>
      <c r="G823" s="2"/>
      <c r="H823" s="2"/>
      <c r="I823" s="2"/>
      <c r="J823" s="2"/>
      <c r="K823" s="2"/>
    </row>
    <row r="824" spans="2:12">
      <c r="B824" s="1"/>
      <c r="C824" s="2"/>
      <c r="D824" s="2"/>
      <c r="E824" s="2"/>
      <c r="F824" s="2"/>
      <c r="G824" s="2"/>
      <c r="H824" s="2"/>
      <c r="I824" s="2"/>
      <c r="J824" s="2"/>
      <c r="K824" s="2"/>
    </row>
    <row r="825" spans="2:12">
      <c r="B825" s="1"/>
      <c r="C825" s="2"/>
      <c r="D825" s="2"/>
      <c r="E825" s="2"/>
      <c r="F825" s="2"/>
      <c r="G825" s="2"/>
      <c r="H825" s="2"/>
      <c r="I825" s="2"/>
      <c r="J825" s="2"/>
      <c r="K825" s="2"/>
    </row>
    <row r="826" spans="2:12">
      <c r="B826" s="1"/>
      <c r="C826" s="2"/>
      <c r="D826" s="2"/>
      <c r="E826" s="2"/>
      <c r="F826" s="2"/>
      <c r="G826" s="2"/>
      <c r="H826" s="2"/>
      <c r="I826" s="2"/>
      <c r="J826" s="2"/>
      <c r="K826" s="2"/>
    </row>
    <row r="827" spans="2:12">
      <c r="B827" s="1"/>
      <c r="C827" s="2"/>
      <c r="D827" s="2"/>
      <c r="E827" s="2"/>
      <c r="F827" s="2"/>
      <c r="G827" s="2"/>
      <c r="H827" s="2"/>
      <c r="I827" s="2"/>
      <c r="J827" s="2"/>
      <c r="K827" s="2"/>
    </row>
    <row r="828" spans="2:12">
      <c r="B828" s="1"/>
      <c r="C828" s="2"/>
      <c r="D828" s="2"/>
      <c r="E828" s="2"/>
      <c r="F828" s="2"/>
      <c r="G828" s="2"/>
      <c r="H828" s="2"/>
      <c r="I828" s="2"/>
      <c r="J828" s="2"/>
      <c r="K828" s="2"/>
    </row>
    <row r="829" spans="2:12">
      <c r="B829" s="1"/>
      <c r="C829" s="2"/>
      <c r="D829" s="2"/>
      <c r="E829" s="2"/>
      <c r="F829" s="2"/>
      <c r="G829" s="2"/>
      <c r="H829" s="2"/>
      <c r="I829" s="2"/>
      <c r="J829" s="2"/>
      <c r="K829" s="2"/>
    </row>
    <row r="830" spans="2:12">
      <c r="B830" s="1"/>
      <c r="C830" s="2"/>
      <c r="D830" s="2"/>
      <c r="E830" s="2"/>
      <c r="F830" s="2"/>
      <c r="G830" s="2"/>
      <c r="H830" s="2"/>
      <c r="I830" s="2"/>
      <c r="J830" s="2"/>
      <c r="K830" s="2"/>
    </row>
    <row r="831" spans="2:12">
      <c r="B831" s="1"/>
      <c r="C831" s="2"/>
      <c r="D831" s="2"/>
      <c r="E831" s="2"/>
      <c r="F831" s="2"/>
      <c r="G831" s="2"/>
      <c r="H831" s="2"/>
      <c r="I831" s="2"/>
      <c r="J831" s="2"/>
      <c r="K831" s="2"/>
    </row>
    <row r="832" spans="2:12">
      <c r="B832" s="1"/>
      <c r="C832" s="2"/>
      <c r="D832" s="2"/>
      <c r="E832" s="2"/>
      <c r="F832" s="2"/>
      <c r="G832" s="2"/>
      <c r="H832" s="2"/>
      <c r="I832" s="2"/>
      <c r="J832" s="2"/>
      <c r="K832" s="2"/>
    </row>
    <row r="833" spans="2:11">
      <c r="B833" s="1"/>
      <c r="C833" s="2"/>
      <c r="D833" s="2"/>
      <c r="E833" s="2"/>
      <c r="F833" s="2"/>
      <c r="G833" s="2"/>
      <c r="H833" s="2"/>
      <c r="I833" s="2"/>
      <c r="J833" s="2"/>
      <c r="K833" s="2"/>
    </row>
    <row r="834" spans="2:11">
      <c r="B834" s="1"/>
      <c r="C834" s="2"/>
      <c r="D834" s="2"/>
      <c r="E834" s="2"/>
      <c r="F834" s="2"/>
      <c r="G834" s="2"/>
      <c r="H834" s="2"/>
      <c r="I834" s="2"/>
      <c r="J834" s="2"/>
      <c r="K834" s="2"/>
    </row>
    <row r="836" spans="2:11" ht="18.75" customHeight="1">
      <c r="B836" s="740" t="s">
        <v>879</v>
      </c>
      <c r="C836" s="740"/>
      <c r="D836" s="740"/>
      <c r="E836" s="740"/>
      <c r="F836" s="740"/>
      <c r="G836" s="740"/>
      <c r="H836" s="740"/>
      <c r="I836" s="740"/>
      <c r="J836" s="740"/>
      <c r="K836" s="740"/>
    </row>
    <row r="837" spans="2:11">
      <c r="B837" s="65"/>
      <c r="C837" s="3"/>
      <c r="D837" s="2"/>
      <c r="E837" s="2"/>
      <c r="F837" s="2"/>
      <c r="G837" s="2"/>
      <c r="H837" s="2"/>
      <c r="I837" s="2"/>
      <c r="J837" s="2"/>
      <c r="K837" s="2"/>
    </row>
    <row r="838" spans="2:11" ht="12.75" customHeight="1">
      <c r="B838" s="731" t="s">
        <v>880</v>
      </c>
      <c r="C838" s="731"/>
      <c r="D838" s="731"/>
      <c r="E838" s="731"/>
      <c r="F838" s="731"/>
      <c r="G838" s="731"/>
      <c r="H838" s="731"/>
      <c r="I838" s="731"/>
      <c r="J838" s="731"/>
      <c r="K838" s="731"/>
    </row>
    <row r="839" spans="2:11" ht="18.75" customHeight="1">
      <c r="B839" s="731"/>
      <c r="C839" s="731"/>
      <c r="D839" s="731"/>
      <c r="E839" s="731"/>
      <c r="F839" s="731"/>
      <c r="G839" s="731"/>
      <c r="H839" s="731"/>
      <c r="I839" s="731"/>
      <c r="J839" s="731"/>
      <c r="K839" s="731"/>
    </row>
    <row r="840" spans="2:11">
      <c r="B840" s="563"/>
      <c r="C840" s="22"/>
      <c r="D840" s="22"/>
      <c r="E840" s="22"/>
      <c r="F840" s="22"/>
      <c r="G840" s="22"/>
      <c r="H840" s="22"/>
      <c r="I840" s="2"/>
      <c r="J840" s="2"/>
      <c r="K840" s="2"/>
    </row>
    <row r="841" spans="2:11">
      <c r="B841" s="5"/>
      <c r="C841" s="65"/>
      <c r="D841" s="66"/>
      <c r="E841" s="65" t="s">
        <v>270</v>
      </c>
      <c r="F841" s="1"/>
      <c r="G841" s="1"/>
      <c r="H841" s="1"/>
      <c r="I841" s="1"/>
      <c r="J841" s="1"/>
      <c r="K841" s="1"/>
    </row>
    <row r="842" spans="2:11">
      <c r="B842" s="66"/>
      <c r="C842" s="65" t="s">
        <v>257</v>
      </c>
      <c r="D842" s="49" t="s">
        <v>258</v>
      </c>
      <c r="E842" s="66" t="s">
        <v>832</v>
      </c>
      <c r="F842" s="66" t="s">
        <v>270</v>
      </c>
      <c r="G842" s="66" t="s">
        <v>271</v>
      </c>
      <c r="H842" s="66" t="s">
        <v>272</v>
      </c>
      <c r="I842" s="66" t="s">
        <v>996</v>
      </c>
      <c r="J842" s="66" t="s">
        <v>1101</v>
      </c>
      <c r="K842" s="66" t="s">
        <v>1136</v>
      </c>
    </row>
    <row r="843" spans="2:11" ht="15.75" thickBot="1">
      <c r="B843" s="169"/>
      <c r="C843" s="68" t="s">
        <v>1</v>
      </c>
      <c r="D843" s="68" t="s">
        <v>1</v>
      </c>
      <c r="E843" s="68" t="s">
        <v>787</v>
      </c>
      <c r="F843" s="68" t="s">
        <v>19</v>
      </c>
      <c r="G843" s="68" t="s">
        <v>832</v>
      </c>
      <c r="H843" s="68" t="s">
        <v>19</v>
      </c>
      <c r="I843" s="68" t="s">
        <v>19</v>
      </c>
      <c r="J843" s="68" t="s">
        <v>19</v>
      </c>
      <c r="K843" s="68" t="s">
        <v>19</v>
      </c>
    </row>
    <row r="844" spans="2:11">
      <c r="B844" s="64"/>
      <c r="C844" s="170"/>
      <c r="D844" s="2"/>
      <c r="E844" s="2"/>
      <c r="F844" s="2"/>
      <c r="G844" s="2"/>
      <c r="H844" s="2"/>
      <c r="I844" s="2"/>
      <c r="J844" s="2"/>
      <c r="K844" s="2"/>
    </row>
    <row r="845" spans="2:11">
      <c r="B845" s="158" t="s">
        <v>833</v>
      </c>
      <c r="C845" s="2"/>
      <c r="D845" s="2"/>
      <c r="E845" s="2"/>
      <c r="F845" s="2"/>
      <c r="G845" s="2"/>
      <c r="H845" s="2"/>
      <c r="I845" s="2"/>
      <c r="J845" s="2"/>
      <c r="K845" s="2"/>
    </row>
    <row r="846" spans="2:11" ht="20.100000000000001" customHeight="1">
      <c r="B846" s="506" t="s">
        <v>834</v>
      </c>
      <c r="C846" s="2">
        <f>'Budget Detail FY 2013-20'!L1036+'Budget Detail FY 2013-20'!L1037</f>
        <v>0</v>
      </c>
      <c r="D846" s="2">
        <f>'Budget Detail FY 2013-20'!M1036+'Budget Detail FY 2013-20'!M1037</f>
        <v>2043</v>
      </c>
      <c r="E846" s="2">
        <f>'Budget Detail FY 2013-20'!N1036+'Budget Detail FY 2013-20'!N1037</f>
        <v>20000</v>
      </c>
      <c r="F846" s="2">
        <f>'Budget Detail FY 2013-20'!O1036+'Budget Detail FY 2013-20'!O1037</f>
        <v>9295</v>
      </c>
      <c r="G846" s="2">
        <f>'Budget Detail FY 2013-20'!P1036+'Budget Detail FY 2013-20'!P1037</f>
        <v>100000</v>
      </c>
      <c r="H846" s="2">
        <f>'Budget Detail FY 2013-20'!Q1036+'Budget Detail FY 2013-20'!Q1037</f>
        <v>100000</v>
      </c>
      <c r="I846" s="2">
        <f>'Budget Detail FY 2013-20'!R1036+'Budget Detail FY 2013-20'!R1037</f>
        <v>100000</v>
      </c>
      <c r="J846" s="2">
        <f>'Budget Detail FY 2013-20'!S1036+'Budget Detail FY 2013-20'!S1037</f>
        <v>100000</v>
      </c>
      <c r="K846" s="2">
        <f>'Budget Detail FY 2013-20'!T1036+'Budget Detail FY 2013-20'!T1037</f>
        <v>100000</v>
      </c>
    </row>
    <row r="847" spans="2:11" ht="20.100000000000001" customHeight="1">
      <c r="B847" s="507" t="s">
        <v>839</v>
      </c>
      <c r="C847" s="2">
        <f>'Budget Detail FY 2013-20'!L1038</f>
        <v>2132</v>
      </c>
      <c r="D847" s="2">
        <f>'Budget Detail FY 2013-20'!M1038</f>
        <v>106</v>
      </c>
      <c r="E847" s="2">
        <f>'Budget Detail FY 2013-20'!N1038</f>
        <v>0</v>
      </c>
      <c r="F847" s="2">
        <f>'Budget Detail FY 2013-20'!O1038</f>
        <v>0</v>
      </c>
      <c r="G847" s="2">
        <f>'Budget Detail FY 2013-20'!P1038</f>
        <v>0</v>
      </c>
      <c r="H847" s="2">
        <f>'Budget Detail FY 2013-20'!Q1038</f>
        <v>0</v>
      </c>
      <c r="I847" s="2">
        <f>'Budget Detail FY 2013-20'!R1038</f>
        <v>0</v>
      </c>
      <c r="J847" s="2">
        <f>'Budget Detail FY 2013-20'!S1038</f>
        <v>0</v>
      </c>
      <c r="K847" s="2">
        <f>'Budget Detail FY 2013-20'!T1038</f>
        <v>0</v>
      </c>
    </row>
    <row r="848" spans="2:11" ht="20.100000000000001" customHeight="1">
      <c r="B848" s="509" t="s">
        <v>842</v>
      </c>
      <c r="C848" s="2">
        <f>'Budget Detail FY 2013-20'!L1039</f>
        <v>0</v>
      </c>
      <c r="D848" s="2">
        <f>'Budget Detail FY 2013-20'!M1039</f>
        <v>1235000</v>
      </c>
      <c r="E848" s="2">
        <f>'Budget Detail FY 2013-20'!N1039</f>
        <v>0</v>
      </c>
      <c r="F848" s="2">
        <f>'Budget Detail FY 2013-20'!O1039</f>
        <v>0</v>
      </c>
      <c r="G848" s="2">
        <f>'Budget Detail FY 2013-20'!P1039</f>
        <v>0</v>
      </c>
      <c r="H848" s="2">
        <f>'Budget Detail FY 2013-20'!Q1039</f>
        <v>0</v>
      </c>
      <c r="I848" s="2">
        <f>'Budget Detail FY 2013-20'!R1039</f>
        <v>0</v>
      </c>
      <c r="J848" s="2">
        <f>'Budget Detail FY 2013-20'!S1039</f>
        <v>0</v>
      </c>
      <c r="K848" s="2">
        <f>'Budget Detail FY 2013-20'!T1039</f>
        <v>0</v>
      </c>
    </row>
    <row r="849" spans="2:12" ht="20.100000000000001" customHeight="1" thickBot="1">
      <c r="B849" s="153" t="s">
        <v>843</v>
      </c>
      <c r="C849" s="150">
        <f>SUM(C846:C848)</f>
        <v>2132</v>
      </c>
      <c r="D849" s="150">
        <f t="shared" ref="D849:K849" si="130">SUM(D846:D848)</f>
        <v>1237149</v>
      </c>
      <c r="E849" s="150">
        <f t="shared" si="130"/>
        <v>20000</v>
      </c>
      <c r="F849" s="150">
        <f t="shared" si="130"/>
        <v>9295</v>
      </c>
      <c r="G849" s="150">
        <f t="shared" si="130"/>
        <v>100000</v>
      </c>
      <c r="H849" s="150">
        <f t="shared" si="130"/>
        <v>100000</v>
      </c>
      <c r="I849" s="150">
        <f t="shared" si="130"/>
        <v>100000</v>
      </c>
      <c r="J849" s="150">
        <f t="shared" si="130"/>
        <v>100000</v>
      </c>
      <c r="K849" s="150">
        <f t="shared" si="130"/>
        <v>100000</v>
      </c>
    </row>
    <row r="850" spans="2:12" s="569" customFormat="1" hidden="1">
      <c r="B850" s="155"/>
      <c r="C850" s="132">
        <f>'Budget Detail FY 2013-20'!L1041</f>
        <v>2132</v>
      </c>
      <c r="D850" s="132">
        <f>'Budget Detail FY 2013-20'!M1041</f>
        <v>1237149</v>
      </c>
      <c r="E850" s="132">
        <f>'Budget Detail FY 2013-20'!N1041</f>
        <v>20000</v>
      </c>
      <c r="F850" s="132">
        <f>'Budget Detail FY 2013-20'!O1041</f>
        <v>9295</v>
      </c>
      <c r="G850" s="132">
        <f>'Budget Detail FY 2013-20'!P1041</f>
        <v>100000</v>
      </c>
      <c r="H850" s="132">
        <f>'Budget Detail FY 2013-20'!Q1041</f>
        <v>100000</v>
      </c>
      <c r="I850" s="132">
        <f>'Budget Detail FY 2013-20'!R1041</f>
        <v>100000</v>
      </c>
      <c r="J850" s="132">
        <f>'Budget Detail FY 2013-20'!S1041</f>
        <v>100000</v>
      </c>
      <c r="K850" s="132">
        <f>'Budget Detail FY 2013-20'!T1041</f>
        <v>100000</v>
      </c>
      <c r="L850" s="571" t="s">
        <v>1150</v>
      </c>
    </row>
    <row r="851" spans="2:12" s="570" customFormat="1" hidden="1">
      <c r="B851" s="157"/>
      <c r="C851" s="163">
        <f>C849-C850</f>
        <v>0</v>
      </c>
      <c r="D851" s="163">
        <f t="shared" ref="D851:K851" si="131">D849-D850</f>
        <v>0</v>
      </c>
      <c r="E851" s="163">
        <f t="shared" si="131"/>
        <v>0</v>
      </c>
      <c r="F851" s="163">
        <f t="shared" si="131"/>
        <v>0</v>
      </c>
      <c r="G851" s="163">
        <f t="shared" si="131"/>
        <v>0</v>
      </c>
      <c r="H851" s="163">
        <f t="shared" si="131"/>
        <v>0</v>
      </c>
      <c r="I851" s="163">
        <f t="shared" si="131"/>
        <v>0</v>
      </c>
      <c r="J851" s="163">
        <f t="shared" si="131"/>
        <v>0</v>
      </c>
      <c r="K851" s="163">
        <f t="shared" si="131"/>
        <v>0</v>
      </c>
      <c r="L851" s="571" t="s">
        <v>1151</v>
      </c>
    </row>
    <row r="852" spans="2:12">
      <c r="B852" s="1"/>
      <c r="C852" s="2"/>
      <c r="D852" s="2"/>
      <c r="E852" s="2"/>
      <c r="F852" s="2"/>
      <c r="G852" s="2"/>
      <c r="H852" s="2"/>
      <c r="I852" s="2"/>
      <c r="J852" s="2"/>
      <c r="K852" s="2"/>
    </row>
    <row r="853" spans="2:12">
      <c r="B853" s="158" t="s">
        <v>598</v>
      </c>
      <c r="C853" s="2"/>
      <c r="D853" s="2"/>
      <c r="E853" s="2"/>
      <c r="F853" s="2"/>
      <c r="G853" s="2"/>
      <c r="H853" s="2"/>
      <c r="I853" s="2"/>
      <c r="J853" s="2"/>
      <c r="K853" s="2"/>
    </row>
    <row r="854" spans="2:12" ht="20.100000000000001" customHeight="1">
      <c r="B854" s="508" t="s">
        <v>846</v>
      </c>
      <c r="C854" s="2">
        <f>SUM('Budget Detail FY 2013-20'!L1043:L1047)</f>
        <v>3002</v>
      </c>
      <c r="D854" s="2">
        <f>SUM('Budget Detail FY 2013-20'!M1043:M1047)</f>
        <v>1843149</v>
      </c>
      <c r="E854" s="2">
        <f>SUM('Budget Detail FY 2013-20'!N1043:N1047)</f>
        <v>23325</v>
      </c>
      <c r="F854" s="2">
        <f>SUM('Budget Detail FY 2013-20'!O1043:O1047)</f>
        <v>3325</v>
      </c>
      <c r="G854" s="2">
        <f>SUM('Budget Detail FY 2013-20'!P1043:P1047)</f>
        <v>3140</v>
      </c>
      <c r="H854" s="2">
        <f>SUM('Budget Detail FY 2013-20'!Q1043:Q1047)</f>
        <v>3140</v>
      </c>
      <c r="I854" s="2">
        <f>SUM('Budget Detail FY 2013-20'!R1043:R1047)</f>
        <v>3140</v>
      </c>
      <c r="J854" s="2">
        <f>SUM('Budget Detail FY 2013-20'!S1043:S1047)</f>
        <v>3140</v>
      </c>
      <c r="K854" s="2">
        <f>SUM('Budget Detail FY 2013-20'!T1043:T1047)</f>
        <v>3140</v>
      </c>
    </row>
    <row r="855" spans="2:12" ht="20.100000000000001" customHeight="1">
      <c r="B855" s="508" t="s">
        <v>772</v>
      </c>
      <c r="C855" s="2">
        <f>SUM('Budget Detail FY 2013-20'!L1050:L1054)</f>
        <v>304668</v>
      </c>
      <c r="D855" s="2">
        <f>SUM('Budget Detail FY 2013-20'!M1050:M1054)</f>
        <v>302738</v>
      </c>
      <c r="E855" s="2">
        <f>SUM('Budget Detail FY 2013-20'!N1050:N1054)</f>
        <v>68073</v>
      </c>
      <c r="F855" s="2">
        <f>SUM('Budget Detail FY 2013-20'!O1050:O1054)</f>
        <v>68073</v>
      </c>
      <c r="G855" s="2">
        <f>SUM('Budget Detail FY 2013-20'!P1050:P1054)</f>
        <v>93431</v>
      </c>
      <c r="H855" s="2">
        <f>SUM('Budget Detail FY 2013-20'!Q1050:Q1054)</f>
        <v>118788</v>
      </c>
      <c r="I855" s="2">
        <f>SUM('Budget Detail FY 2013-20'!R1050:R1054)</f>
        <v>118788</v>
      </c>
      <c r="J855" s="2">
        <f>SUM('Budget Detail FY 2013-20'!S1050:S1054)</f>
        <v>118788</v>
      </c>
      <c r="K855" s="2">
        <f>SUM('Budget Detail FY 2013-20'!T1050:T1054)</f>
        <v>353788</v>
      </c>
    </row>
    <row r="856" spans="2:12" ht="20.100000000000001" customHeight="1">
      <c r="B856" s="508" t="s">
        <v>848</v>
      </c>
      <c r="C856" s="2">
        <f>'Budget Detail FY 2013-20'!L1048</f>
        <v>0</v>
      </c>
      <c r="D856" s="2">
        <f>'Budget Detail FY 2013-20'!M1048</f>
        <v>0</v>
      </c>
      <c r="E856" s="2">
        <f>'Budget Detail FY 2013-20'!N1048</f>
        <v>0</v>
      </c>
      <c r="F856" s="2">
        <f>'Budget Detail FY 2013-20'!O1048</f>
        <v>2198</v>
      </c>
      <c r="G856" s="2">
        <f>'Budget Detail FY 2013-20'!P1048</f>
        <v>0</v>
      </c>
      <c r="H856" s="2">
        <f>'Budget Detail FY 2013-20'!Q1048</f>
        <v>0</v>
      </c>
      <c r="I856" s="2">
        <f>'Budget Detail FY 2013-20'!R1048</f>
        <v>0</v>
      </c>
      <c r="J856" s="2">
        <f>'Budget Detail FY 2013-20'!S1048</f>
        <v>0</v>
      </c>
      <c r="K856" s="2">
        <f>'Budget Detail FY 2013-20'!T1048</f>
        <v>0</v>
      </c>
    </row>
    <row r="857" spans="2:12" ht="20.100000000000001" customHeight="1">
      <c r="B857" s="509" t="s">
        <v>850</v>
      </c>
      <c r="C857" s="2">
        <f>'Budget Detail FY 2013-20'!L1056+'Budget Detail FY 2013-20'!L1057</f>
        <v>0</v>
      </c>
      <c r="D857" s="2">
        <f>'Budget Detail FY 2013-20'!M1056+'Budget Detail FY 2013-20'!M1057</f>
        <v>1197685</v>
      </c>
      <c r="E857" s="2">
        <f>'Budget Detail FY 2013-20'!N1056+'Budget Detail FY 2013-20'!N1057</f>
        <v>0</v>
      </c>
      <c r="F857" s="2">
        <f>'Budget Detail FY 2013-20'!O1056+'Budget Detail FY 2013-20'!O1057</f>
        <v>0</v>
      </c>
      <c r="G857" s="2">
        <f>'Budget Detail FY 2013-20'!P1056+'Budget Detail FY 2013-20'!P1057</f>
        <v>0</v>
      </c>
      <c r="H857" s="2">
        <f>'Budget Detail FY 2013-20'!Q1056+'Budget Detail FY 2013-20'!Q1057</f>
        <v>0</v>
      </c>
      <c r="I857" s="2">
        <f>'Budget Detail FY 2013-20'!R1056+'Budget Detail FY 2013-20'!R1057</f>
        <v>0</v>
      </c>
      <c r="J857" s="2">
        <f>'Budget Detail FY 2013-20'!S1056+'Budget Detail FY 2013-20'!S1057</f>
        <v>0</v>
      </c>
      <c r="K857" s="2">
        <f>'Budget Detail FY 2013-20'!T1056+'Budget Detail FY 2013-20'!T1057</f>
        <v>0</v>
      </c>
    </row>
    <row r="858" spans="2:12" ht="20.100000000000001" customHeight="1" thickBot="1">
      <c r="B858" s="153" t="s">
        <v>851</v>
      </c>
      <c r="C858" s="150">
        <f>SUM(C854:C857)</f>
        <v>307670</v>
      </c>
      <c r="D858" s="150">
        <f t="shared" ref="D858:K858" si="132">SUM(D854:D857)</f>
        <v>3343572</v>
      </c>
      <c r="E858" s="150">
        <f t="shared" si="132"/>
        <v>91398</v>
      </c>
      <c r="F858" s="150">
        <f t="shared" si="132"/>
        <v>73596</v>
      </c>
      <c r="G858" s="150">
        <f t="shared" si="132"/>
        <v>96571</v>
      </c>
      <c r="H858" s="150">
        <f t="shared" si="132"/>
        <v>121928</v>
      </c>
      <c r="I858" s="150">
        <f t="shared" si="132"/>
        <v>121928</v>
      </c>
      <c r="J858" s="150">
        <f t="shared" si="132"/>
        <v>121928</v>
      </c>
      <c r="K858" s="150">
        <f t="shared" si="132"/>
        <v>356928</v>
      </c>
    </row>
    <row r="859" spans="2:12" s="569" customFormat="1" hidden="1">
      <c r="B859" s="155"/>
      <c r="C859" s="132">
        <f>'Budget Detail FY 2013-20'!L1059</f>
        <v>307670</v>
      </c>
      <c r="D859" s="132">
        <f>'Budget Detail FY 2013-20'!M1059</f>
        <v>3343572</v>
      </c>
      <c r="E859" s="132">
        <f>'Budget Detail FY 2013-20'!N1059</f>
        <v>91398</v>
      </c>
      <c r="F859" s="132">
        <f>'Budget Detail FY 2013-20'!O1059</f>
        <v>73596</v>
      </c>
      <c r="G859" s="132">
        <f>'Budget Detail FY 2013-20'!P1059</f>
        <v>96571</v>
      </c>
      <c r="H859" s="132">
        <f>'Budget Detail FY 2013-20'!Q1059</f>
        <v>121928</v>
      </c>
      <c r="I859" s="132">
        <f>'Budget Detail FY 2013-20'!R1059</f>
        <v>121928</v>
      </c>
      <c r="J859" s="132">
        <f>'Budget Detail FY 2013-20'!S1059</f>
        <v>121928</v>
      </c>
      <c r="K859" s="132">
        <f>'Budget Detail FY 2013-20'!T1059</f>
        <v>356928</v>
      </c>
      <c r="L859" s="571" t="s">
        <v>1150</v>
      </c>
    </row>
    <row r="860" spans="2:12" s="570" customFormat="1" hidden="1">
      <c r="B860" s="157"/>
      <c r="C860" s="163">
        <f>C858-C859</f>
        <v>0</v>
      </c>
      <c r="D860" s="163">
        <f t="shared" ref="D860:K860" si="133">D858-D859</f>
        <v>0</v>
      </c>
      <c r="E860" s="163">
        <f t="shared" si="133"/>
        <v>0</v>
      </c>
      <c r="F860" s="163">
        <f t="shared" si="133"/>
        <v>0</v>
      </c>
      <c r="G860" s="163">
        <f t="shared" si="133"/>
        <v>0</v>
      </c>
      <c r="H860" s="163">
        <f t="shared" si="133"/>
        <v>0</v>
      </c>
      <c r="I860" s="163">
        <f t="shared" si="133"/>
        <v>0</v>
      </c>
      <c r="J860" s="163">
        <f t="shared" si="133"/>
        <v>0</v>
      </c>
      <c r="K860" s="163">
        <f t="shared" si="133"/>
        <v>0</v>
      </c>
      <c r="L860" s="571" t="s">
        <v>1151</v>
      </c>
    </row>
    <row r="861" spans="2:12">
      <c r="B861" s="160"/>
      <c r="C861" s="3"/>
      <c r="D861" s="2"/>
      <c r="E861" s="2"/>
      <c r="F861" s="2"/>
      <c r="G861" s="2"/>
      <c r="H861" s="2"/>
      <c r="I861" s="2"/>
      <c r="J861" s="2"/>
      <c r="K861" s="2"/>
    </row>
    <row r="862" spans="2:12" ht="20.100000000000001" customHeight="1">
      <c r="B862" s="510" t="s">
        <v>852</v>
      </c>
      <c r="C862" s="3">
        <f>+C849-C858</f>
        <v>-305538</v>
      </c>
      <c r="D862" s="3">
        <f t="shared" ref="D862:J862" si="134">+D849-D858</f>
        <v>-2106423</v>
      </c>
      <c r="E862" s="3">
        <f t="shared" si="134"/>
        <v>-71398</v>
      </c>
      <c r="F862" s="3">
        <f t="shared" si="134"/>
        <v>-64301</v>
      </c>
      <c r="G862" s="3">
        <f t="shared" si="134"/>
        <v>3429</v>
      </c>
      <c r="H862" s="3">
        <f t="shared" si="134"/>
        <v>-21928</v>
      </c>
      <c r="I862" s="3">
        <f t="shared" si="134"/>
        <v>-21928</v>
      </c>
      <c r="J862" s="3">
        <f t="shared" si="134"/>
        <v>-21928</v>
      </c>
      <c r="K862" s="3">
        <f>+K849-K858</f>
        <v>-256928</v>
      </c>
    </row>
    <row r="863" spans="2:12" s="569" customFormat="1" hidden="1">
      <c r="B863" s="161"/>
      <c r="C863" s="132">
        <f>'Budget Detail FY 2013-20'!L1061</f>
        <v>-305538</v>
      </c>
      <c r="D863" s="132">
        <f>'Budget Detail FY 2013-20'!M1061</f>
        <v>-2106423</v>
      </c>
      <c r="E863" s="132">
        <f>'Budget Detail FY 2013-20'!N1061</f>
        <v>-71398</v>
      </c>
      <c r="F863" s="132">
        <f>'Budget Detail FY 2013-20'!O1061</f>
        <v>-64301</v>
      </c>
      <c r="G863" s="132">
        <f>'Budget Detail FY 2013-20'!P1061</f>
        <v>3429</v>
      </c>
      <c r="H863" s="132">
        <f>'Budget Detail FY 2013-20'!Q1061</f>
        <v>-21928</v>
      </c>
      <c r="I863" s="132">
        <f>'Budget Detail FY 2013-20'!R1061</f>
        <v>-21928</v>
      </c>
      <c r="J863" s="132">
        <f>'Budget Detail FY 2013-20'!S1061</f>
        <v>-21928</v>
      </c>
      <c r="K863" s="132">
        <f>'Budget Detail FY 2013-20'!T1061</f>
        <v>-256928</v>
      </c>
      <c r="L863" s="571" t="s">
        <v>1150</v>
      </c>
    </row>
    <row r="864" spans="2:12" s="570" customFormat="1" hidden="1">
      <c r="B864" s="162"/>
      <c r="C864" s="163">
        <f>C862-C863</f>
        <v>0</v>
      </c>
      <c r="D864" s="163">
        <f t="shared" ref="D864:K864" si="135">D862-D863</f>
        <v>0</v>
      </c>
      <c r="E864" s="163">
        <f t="shared" si="135"/>
        <v>0</v>
      </c>
      <c r="F864" s="163">
        <f t="shared" si="135"/>
        <v>0</v>
      </c>
      <c r="G864" s="163">
        <f t="shared" si="135"/>
        <v>0</v>
      </c>
      <c r="H864" s="163">
        <f t="shared" si="135"/>
        <v>0</v>
      </c>
      <c r="I864" s="163">
        <f t="shared" si="135"/>
        <v>0</v>
      </c>
      <c r="J864" s="163">
        <f t="shared" si="135"/>
        <v>0</v>
      </c>
      <c r="K864" s="163">
        <f t="shared" si="135"/>
        <v>0</v>
      </c>
      <c r="L864" s="571" t="s">
        <v>1151</v>
      </c>
    </row>
    <row r="865" spans="2:12">
      <c r="B865" s="164"/>
      <c r="C865" s="3"/>
      <c r="D865" s="2"/>
      <c r="E865" s="2"/>
      <c r="F865" s="2"/>
      <c r="G865" s="2"/>
      <c r="H865" s="2"/>
      <c r="I865" s="2"/>
      <c r="J865" s="2"/>
      <c r="K865" s="2"/>
    </row>
    <row r="866" spans="2:12" ht="20.100000000000001" customHeight="1" thickBot="1">
      <c r="B866" s="152" t="s">
        <v>853</v>
      </c>
      <c r="C866" s="83">
        <v>1572335</v>
      </c>
      <c r="D866" s="83">
        <v>-534087</v>
      </c>
      <c r="E866" s="83">
        <v>-604070</v>
      </c>
      <c r="F866" s="83">
        <f>D866+F862</f>
        <v>-598388</v>
      </c>
      <c r="G866" s="83">
        <f>F866+G862</f>
        <v>-594959</v>
      </c>
      <c r="H866" s="83">
        <f>G866+H862</f>
        <v>-616887</v>
      </c>
      <c r="I866" s="83">
        <f>H866+I862</f>
        <v>-638815</v>
      </c>
      <c r="J866" s="83">
        <f>I866+J862</f>
        <v>-660743</v>
      </c>
      <c r="K866" s="83">
        <f>J866+K862</f>
        <v>-917671</v>
      </c>
    </row>
    <row r="867" spans="2:12" s="569" customFormat="1" ht="15.75" hidden="1" thickTop="1">
      <c r="B867" s="155"/>
      <c r="C867" s="132">
        <f>'Budget Detail FY 2013-20'!L1063</f>
        <v>1572335</v>
      </c>
      <c r="D867" s="132">
        <f>'Budget Detail FY 2013-20'!M1063</f>
        <v>-534087</v>
      </c>
      <c r="E867" s="132">
        <f>'Budget Detail FY 2013-20'!N1063</f>
        <v>-604070</v>
      </c>
      <c r="F867" s="132">
        <f>'Budget Detail FY 2013-20'!O1063</f>
        <v>-598388</v>
      </c>
      <c r="G867" s="132">
        <f>'Budget Detail FY 2013-20'!P1063</f>
        <v>-594959</v>
      </c>
      <c r="H867" s="132">
        <f>'Budget Detail FY 2013-20'!Q1063</f>
        <v>-616887</v>
      </c>
      <c r="I867" s="132">
        <f>'Budget Detail FY 2013-20'!R1063</f>
        <v>-638815</v>
      </c>
      <c r="J867" s="132">
        <f>'Budget Detail FY 2013-20'!S1063</f>
        <v>-660743</v>
      </c>
      <c r="K867" s="132">
        <f>'Budget Detail FY 2013-20'!T1063</f>
        <v>-917671</v>
      </c>
      <c r="L867" s="571" t="s">
        <v>1150</v>
      </c>
    </row>
    <row r="868" spans="2:12" s="570" customFormat="1" hidden="1">
      <c r="B868" s="157"/>
      <c r="C868" s="163">
        <f>C866-C867</f>
        <v>0</v>
      </c>
      <c r="D868" s="163">
        <f t="shared" ref="D868:K868" si="136">D866-D867</f>
        <v>0</v>
      </c>
      <c r="E868" s="163">
        <f t="shared" si="136"/>
        <v>0</v>
      </c>
      <c r="F868" s="163">
        <f t="shared" si="136"/>
        <v>0</v>
      </c>
      <c r="G868" s="163">
        <f t="shared" si="136"/>
        <v>0</v>
      </c>
      <c r="H868" s="163">
        <f t="shared" si="136"/>
        <v>0</v>
      </c>
      <c r="I868" s="163">
        <f t="shared" si="136"/>
        <v>0</v>
      </c>
      <c r="J868" s="163">
        <f t="shared" si="136"/>
        <v>0</v>
      </c>
      <c r="K868" s="163">
        <f t="shared" si="136"/>
        <v>0</v>
      </c>
      <c r="L868" s="571" t="s">
        <v>1151</v>
      </c>
    </row>
    <row r="869" spans="2:12" ht="15.75" thickTop="1">
      <c r="B869" s="165"/>
      <c r="C869" s="3"/>
      <c r="D869" s="3"/>
      <c r="E869" s="3"/>
      <c r="F869" s="2"/>
      <c r="G869" s="2"/>
      <c r="H869" s="2"/>
      <c r="I869" s="2"/>
      <c r="J869" s="2"/>
      <c r="K869" s="2"/>
    </row>
    <row r="870" spans="2:12">
      <c r="B870" s="165"/>
      <c r="C870" s="3"/>
      <c r="D870" s="3"/>
      <c r="E870" s="3"/>
      <c r="F870" s="2"/>
      <c r="G870" s="2"/>
      <c r="H870" s="2"/>
      <c r="I870" s="2"/>
      <c r="J870" s="2"/>
      <c r="K870" s="2"/>
    </row>
    <row r="871" spans="2:12">
      <c r="B871" s="165"/>
      <c r="C871" s="2"/>
      <c r="D871" s="2"/>
      <c r="E871" s="2"/>
      <c r="F871" s="2"/>
      <c r="G871" s="2"/>
      <c r="H871" s="2"/>
      <c r="I871" s="2"/>
      <c r="J871" s="2"/>
      <c r="K871" s="2"/>
    </row>
    <row r="872" spans="2:12">
      <c r="B872" s="1"/>
      <c r="C872" s="2"/>
      <c r="D872" s="2"/>
      <c r="E872" s="2"/>
      <c r="F872" s="2"/>
      <c r="G872" s="2"/>
      <c r="H872" s="2"/>
      <c r="I872" s="2"/>
      <c r="J872" s="2"/>
      <c r="K872" s="2"/>
    </row>
    <row r="873" spans="2:12">
      <c r="B873" s="1"/>
      <c r="C873" s="2"/>
      <c r="D873" s="2"/>
      <c r="E873" s="2"/>
      <c r="F873" s="2"/>
      <c r="G873" s="2"/>
      <c r="H873" s="2"/>
      <c r="I873" s="2"/>
      <c r="J873" s="2"/>
      <c r="K873" s="2"/>
    </row>
    <row r="874" spans="2:12">
      <c r="B874" s="1"/>
      <c r="C874" s="2"/>
      <c r="D874" s="2"/>
      <c r="E874" s="2"/>
      <c r="F874" s="2"/>
      <c r="G874" s="2"/>
      <c r="H874" s="2"/>
      <c r="I874" s="2"/>
      <c r="J874" s="2"/>
      <c r="K874" s="2"/>
    </row>
    <row r="875" spans="2:12">
      <c r="B875" s="1"/>
      <c r="C875" s="2"/>
      <c r="D875" s="2"/>
      <c r="E875" s="2"/>
      <c r="F875" s="2"/>
      <c r="G875" s="2"/>
      <c r="H875" s="2"/>
      <c r="I875" s="2"/>
      <c r="J875" s="2"/>
      <c r="K875" s="2"/>
    </row>
    <row r="876" spans="2:12">
      <c r="B876" s="1"/>
      <c r="C876" s="2"/>
      <c r="D876" s="2"/>
      <c r="E876" s="2"/>
      <c r="F876" s="2"/>
      <c r="G876" s="2"/>
      <c r="H876" s="2"/>
      <c r="I876" s="2"/>
      <c r="J876" s="2"/>
      <c r="K876" s="2"/>
    </row>
    <row r="877" spans="2:12">
      <c r="B877" s="1"/>
      <c r="C877" s="2"/>
      <c r="D877" s="2"/>
      <c r="E877" s="2"/>
      <c r="F877" s="2"/>
      <c r="G877" s="2"/>
      <c r="H877" s="2"/>
      <c r="I877" s="2"/>
      <c r="J877" s="2"/>
      <c r="K877" s="2"/>
    </row>
    <row r="878" spans="2:12">
      <c r="B878" s="1"/>
      <c r="C878" s="2"/>
      <c r="D878" s="2"/>
      <c r="E878" s="2"/>
      <c r="F878" s="2"/>
      <c r="G878" s="2"/>
      <c r="H878" s="2"/>
      <c r="I878" s="2"/>
      <c r="J878" s="2"/>
      <c r="K878" s="2"/>
    </row>
    <row r="879" spans="2:12">
      <c r="B879" s="1"/>
      <c r="C879" s="2"/>
      <c r="D879" s="2"/>
      <c r="E879" s="2"/>
      <c r="F879" s="2"/>
      <c r="G879" s="2"/>
      <c r="H879" s="2"/>
      <c r="I879" s="2"/>
      <c r="J879" s="2"/>
      <c r="K879" s="2"/>
    </row>
    <row r="880" spans="2:12">
      <c r="B880" s="1"/>
      <c r="C880" s="2"/>
      <c r="D880" s="2"/>
      <c r="E880" s="2"/>
      <c r="F880" s="2"/>
      <c r="G880" s="2"/>
      <c r="H880" s="2"/>
      <c r="I880" s="2"/>
      <c r="J880" s="2"/>
      <c r="K880" s="2"/>
    </row>
    <row r="881" spans="2:11">
      <c r="B881" s="1"/>
      <c r="C881" s="2"/>
      <c r="D881" s="2"/>
      <c r="E881" s="2"/>
      <c r="F881" s="2"/>
      <c r="G881" s="2"/>
      <c r="H881" s="2"/>
      <c r="I881" s="2"/>
      <c r="J881" s="2"/>
      <c r="K881" s="2"/>
    </row>
    <row r="882" spans="2:11">
      <c r="B882" s="1"/>
      <c r="C882" s="2"/>
      <c r="D882" s="2"/>
      <c r="E882" s="2"/>
      <c r="F882" s="2"/>
      <c r="G882" s="2"/>
      <c r="H882" s="2"/>
      <c r="I882" s="2"/>
      <c r="J882" s="2"/>
      <c r="K882" s="2"/>
    </row>
    <row r="883" spans="2:11">
      <c r="B883" s="1"/>
      <c r="C883" s="2"/>
      <c r="D883" s="2"/>
      <c r="E883" s="2"/>
      <c r="F883" s="2"/>
      <c r="G883" s="2"/>
      <c r="H883" s="2"/>
      <c r="I883" s="2"/>
      <c r="J883" s="2"/>
      <c r="K883" s="2"/>
    </row>
    <row r="884" spans="2:11">
      <c r="B884" s="740" t="s">
        <v>881</v>
      </c>
      <c r="C884" s="740"/>
      <c r="D884" s="740"/>
      <c r="E884" s="740"/>
      <c r="F884" s="740"/>
      <c r="G884" s="740"/>
      <c r="H884" s="740"/>
      <c r="I884" s="740"/>
      <c r="J884" s="740"/>
      <c r="K884" s="740"/>
    </row>
    <row r="885" spans="2:11">
      <c r="B885" s="65"/>
      <c r="C885" s="3"/>
      <c r="D885" s="2"/>
      <c r="E885" s="2"/>
      <c r="F885" s="2"/>
      <c r="G885" s="2"/>
      <c r="H885" s="2"/>
      <c r="I885" s="2"/>
      <c r="J885" s="2"/>
      <c r="K885" s="2"/>
    </row>
    <row r="886" spans="2:11" ht="15" customHeight="1">
      <c r="B886" s="731" t="s">
        <v>882</v>
      </c>
      <c r="C886" s="731"/>
      <c r="D886" s="731"/>
      <c r="E886" s="731"/>
      <c r="F886" s="731"/>
      <c r="G886" s="731"/>
      <c r="H886" s="731"/>
      <c r="I886" s="731"/>
      <c r="J886" s="731"/>
      <c r="K886" s="731"/>
    </row>
    <row r="887" spans="2:11">
      <c r="B887" s="563"/>
      <c r="C887" s="22"/>
      <c r="D887" s="22"/>
      <c r="E887" s="22"/>
      <c r="F887" s="22"/>
      <c r="G887" s="22"/>
      <c r="H887" s="22"/>
      <c r="I887" s="2"/>
      <c r="J887" s="2"/>
      <c r="K887" s="2"/>
    </row>
    <row r="888" spans="2:11">
      <c r="B888" s="5"/>
      <c r="C888" s="65"/>
      <c r="D888" s="66"/>
      <c r="E888" s="65" t="s">
        <v>270</v>
      </c>
      <c r="F888" s="1"/>
      <c r="G888" s="1"/>
      <c r="H888" s="1"/>
      <c r="I888" s="1"/>
      <c r="J888" s="1"/>
      <c r="K888" s="1"/>
    </row>
    <row r="889" spans="2:11">
      <c r="B889" s="66"/>
      <c r="C889" s="65" t="s">
        <v>257</v>
      </c>
      <c r="D889" s="49" t="s">
        <v>258</v>
      </c>
      <c r="E889" s="66" t="s">
        <v>832</v>
      </c>
      <c r="F889" s="66" t="s">
        <v>270</v>
      </c>
      <c r="G889" s="66" t="s">
        <v>271</v>
      </c>
      <c r="H889" s="66" t="s">
        <v>272</v>
      </c>
      <c r="I889" s="66" t="s">
        <v>996</v>
      </c>
      <c r="J889" s="66" t="s">
        <v>1101</v>
      </c>
      <c r="K889" s="66" t="s">
        <v>1136</v>
      </c>
    </row>
    <row r="890" spans="2:11" ht="15.75" thickBot="1">
      <c r="B890" s="169"/>
      <c r="C890" s="68" t="s">
        <v>1</v>
      </c>
      <c r="D890" s="68" t="s">
        <v>1</v>
      </c>
      <c r="E890" s="68" t="s">
        <v>787</v>
      </c>
      <c r="F890" s="68" t="s">
        <v>19</v>
      </c>
      <c r="G890" s="68" t="s">
        <v>832</v>
      </c>
      <c r="H890" s="68" t="s">
        <v>19</v>
      </c>
      <c r="I890" s="68" t="s">
        <v>19</v>
      </c>
      <c r="J890" s="68" t="s">
        <v>19</v>
      </c>
      <c r="K890" s="68" t="s">
        <v>19</v>
      </c>
    </row>
    <row r="891" spans="2:11">
      <c r="B891" s="64"/>
      <c r="C891" s="170"/>
      <c r="D891" s="2"/>
      <c r="E891" s="2"/>
      <c r="F891" s="2"/>
      <c r="G891" s="2"/>
      <c r="H891" s="2"/>
      <c r="I891" s="2"/>
      <c r="J891" s="2"/>
      <c r="K891" s="2"/>
    </row>
    <row r="892" spans="2:11">
      <c r="B892" s="158" t="s">
        <v>833</v>
      </c>
      <c r="C892" s="2"/>
      <c r="D892" s="2"/>
      <c r="E892" s="2"/>
      <c r="F892" s="2"/>
      <c r="G892" s="2"/>
      <c r="H892" s="2"/>
      <c r="I892" s="2"/>
      <c r="J892" s="2"/>
      <c r="K892" s="2"/>
    </row>
    <row r="893" spans="2:11" ht="20.100000000000001" customHeight="1">
      <c r="B893" s="506" t="s">
        <v>834</v>
      </c>
      <c r="C893" s="2">
        <f>SUM('Budget Detail FY 2013-20'!L1067:L1068)</f>
        <v>39980</v>
      </c>
      <c r="D893" s="2">
        <f>SUM('Budget Detail FY 2013-20'!M1067:M1068)</f>
        <v>62269</v>
      </c>
      <c r="E893" s="2">
        <f>SUM('Budget Detail FY 2013-20'!N1067:N1068)</f>
        <v>85000</v>
      </c>
      <c r="F893" s="2">
        <f>SUM('Budget Detail FY 2013-20'!O1067:O1068)</f>
        <v>60027</v>
      </c>
      <c r="G893" s="2">
        <f>SUM('Budget Detail FY 2013-20'!P1067:P1068)</f>
        <v>65000</v>
      </c>
      <c r="H893" s="2">
        <f>SUM('Budget Detail FY 2013-20'!Q1067:Q1068)</f>
        <v>70000</v>
      </c>
      <c r="I893" s="2">
        <f>SUM('Budget Detail FY 2013-20'!R1067:R1068)</f>
        <v>70000</v>
      </c>
      <c r="J893" s="2">
        <f>SUM('Budget Detail FY 2013-20'!S1067:S1068)</f>
        <v>75000</v>
      </c>
      <c r="K893" s="2">
        <f>SUM('Budget Detail FY 2013-20'!T1067:T1068)</f>
        <v>75000</v>
      </c>
    </row>
    <row r="894" spans="2:11" ht="20.100000000000001" customHeight="1">
      <c r="B894" s="507" t="s">
        <v>839</v>
      </c>
      <c r="C894" s="2">
        <f>'Budget Detail FY 2013-20'!L1069</f>
        <v>428</v>
      </c>
      <c r="D894" s="2">
        <f>'Budget Detail FY 2013-20'!M1069</f>
        <v>53</v>
      </c>
      <c r="E894" s="2">
        <f>'Budget Detail FY 2013-20'!N1069</f>
        <v>75</v>
      </c>
      <c r="F894" s="2">
        <f>'Budget Detail FY 2013-20'!O1069</f>
        <v>50</v>
      </c>
      <c r="G894" s="2">
        <f>'Budget Detail FY 2013-20'!P1069</f>
        <v>50</v>
      </c>
      <c r="H894" s="2">
        <f>'Budget Detail FY 2013-20'!Q1069</f>
        <v>50</v>
      </c>
      <c r="I894" s="2">
        <f>'Budget Detail FY 2013-20'!R1069</f>
        <v>50</v>
      </c>
      <c r="J894" s="2">
        <f>'Budget Detail FY 2013-20'!S1069</f>
        <v>50</v>
      </c>
      <c r="K894" s="2">
        <f>'Budget Detail FY 2013-20'!T1069</f>
        <v>50</v>
      </c>
    </row>
    <row r="895" spans="2:11" ht="20.100000000000001" customHeight="1">
      <c r="B895" s="507" t="s">
        <v>841</v>
      </c>
      <c r="C895" s="2">
        <f>'Budget Detail FY 2013-20'!L1070</f>
        <v>0</v>
      </c>
      <c r="D895" s="2">
        <f>'Budget Detail FY 2013-20'!M1070</f>
        <v>184</v>
      </c>
      <c r="E895" s="2">
        <f>'Budget Detail FY 2013-20'!N1070</f>
        <v>0</v>
      </c>
      <c r="F895" s="2">
        <f>'Budget Detail FY 2013-20'!O1070</f>
        <v>0</v>
      </c>
      <c r="G895" s="2">
        <f>'Budget Detail FY 2013-20'!P1070</f>
        <v>0</v>
      </c>
      <c r="H895" s="2">
        <f>'Budget Detail FY 2013-20'!Q1070</f>
        <v>0</v>
      </c>
      <c r="I895" s="2">
        <f>'Budget Detail FY 2013-20'!R1070</f>
        <v>0</v>
      </c>
      <c r="J895" s="2">
        <f>'Budget Detail FY 2013-20'!S1070</f>
        <v>0</v>
      </c>
      <c r="K895" s="2">
        <f>'Budget Detail FY 2013-20'!T1070</f>
        <v>0</v>
      </c>
    </row>
    <row r="896" spans="2:11" ht="20.100000000000001" customHeight="1">
      <c r="B896" s="507" t="s">
        <v>842</v>
      </c>
      <c r="C896" s="2">
        <f>'Budget Detail FY 2013-20'!L1071</f>
        <v>5000</v>
      </c>
      <c r="D896" s="2">
        <f>'Budget Detail FY 2013-20'!M1071</f>
        <v>8500</v>
      </c>
      <c r="E896" s="2">
        <f>'Budget Detail FY 2013-20'!N1071</f>
        <v>0</v>
      </c>
      <c r="F896" s="2">
        <f>'Budget Detail FY 2013-20'!O1071</f>
        <v>0</v>
      </c>
      <c r="G896" s="2">
        <f>'Budget Detail FY 2013-20'!P1071</f>
        <v>0</v>
      </c>
      <c r="H896" s="2">
        <f>'Budget Detail FY 2013-20'!Q1071</f>
        <v>0</v>
      </c>
      <c r="I896" s="2">
        <f>'Budget Detail FY 2013-20'!R1071</f>
        <v>0</v>
      </c>
      <c r="J896" s="2">
        <f>'Budget Detail FY 2013-20'!S1071</f>
        <v>0</v>
      </c>
      <c r="K896" s="2">
        <f>'Budget Detail FY 2013-20'!T1071</f>
        <v>0</v>
      </c>
    </row>
    <row r="897" spans="2:12" ht="20.100000000000001" customHeight="1" thickBot="1">
      <c r="B897" s="153" t="s">
        <v>843</v>
      </c>
      <c r="C897" s="150">
        <f>SUM(C893:C896)</f>
        <v>45408</v>
      </c>
      <c r="D897" s="150">
        <f t="shared" ref="D897:K897" si="137">SUM(D893:D896)</f>
        <v>71006</v>
      </c>
      <c r="E897" s="150">
        <f t="shared" si="137"/>
        <v>85075</v>
      </c>
      <c r="F897" s="150">
        <f t="shared" si="137"/>
        <v>60077</v>
      </c>
      <c r="G897" s="150">
        <f t="shared" si="137"/>
        <v>65050</v>
      </c>
      <c r="H897" s="150">
        <f t="shared" si="137"/>
        <v>70050</v>
      </c>
      <c r="I897" s="150">
        <f t="shared" si="137"/>
        <v>70050</v>
      </c>
      <c r="J897" s="150">
        <f t="shared" si="137"/>
        <v>75050</v>
      </c>
      <c r="K897" s="150">
        <f t="shared" si="137"/>
        <v>75050</v>
      </c>
    </row>
    <row r="898" spans="2:12" s="569" customFormat="1" hidden="1">
      <c r="B898" s="155"/>
      <c r="C898" s="132">
        <f>'Budget Detail FY 2013-20'!L1073</f>
        <v>45408</v>
      </c>
      <c r="D898" s="132">
        <f>'Budget Detail FY 2013-20'!M1073</f>
        <v>71006</v>
      </c>
      <c r="E898" s="132">
        <f>'Budget Detail FY 2013-20'!N1073</f>
        <v>85075</v>
      </c>
      <c r="F898" s="132">
        <f>'Budget Detail FY 2013-20'!O1073</f>
        <v>60077</v>
      </c>
      <c r="G898" s="132">
        <f>'Budget Detail FY 2013-20'!P1073</f>
        <v>65050</v>
      </c>
      <c r="H898" s="132">
        <f>'Budget Detail FY 2013-20'!Q1073</f>
        <v>70050</v>
      </c>
      <c r="I898" s="132">
        <f>'Budget Detail FY 2013-20'!R1073</f>
        <v>70050</v>
      </c>
      <c r="J898" s="132">
        <f>'Budget Detail FY 2013-20'!S1073</f>
        <v>75050</v>
      </c>
      <c r="K898" s="132">
        <f>'Budget Detail FY 2013-20'!T1073</f>
        <v>75050</v>
      </c>
      <c r="L898" s="571" t="s">
        <v>1150</v>
      </c>
    </row>
    <row r="899" spans="2:12" s="570" customFormat="1" hidden="1">
      <c r="B899" s="157"/>
      <c r="C899" s="163">
        <f>C897-C898</f>
        <v>0</v>
      </c>
      <c r="D899" s="163">
        <f t="shared" ref="D899:K899" si="138">D897-D898</f>
        <v>0</v>
      </c>
      <c r="E899" s="163">
        <f t="shared" si="138"/>
        <v>0</v>
      </c>
      <c r="F899" s="163">
        <f t="shared" si="138"/>
        <v>0</v>
      </c>
      <c r="G899" s="163">
        <f t="shared" si="138"/>
        <v>0</v>
      </c>
      <c r="H899" s="163">
        <f t="shared" si="138"/>
        <v>0</v>
      </c>
      <c r="I899" s="163">
        <f t="shared" si="138"/>
        <v>0</v>
      </c>
      <c r="J899" s="163">
        <f t="shared" si="138"/>
        <v>0</v>
      </c>
      <c r="K899" s="163">
        <f t="shared" si="138"/>
        <v>0</v>
      </c>
      <c r="L899" s="571" t="s">
        <v>1151</v>
      </c>
    </row>
    <row r="900" spans="2:12">
      <c r="B900" s="1"/>
      <c r="C900" s="2"/>
      <c r="D900" s="2"/>
      <c r="E900" s="2"/>
      <c r="F900" s="2"/>
      <c r="G900" s="2"/>
      <c r="H900" s="2"/>
      <c r="I900" s="2"/>
      <c r="J900" s="2"/>
      <c r="K900" s="2"/>
    </row>
    <row r="901" spans="2:12">
      <c r="B901" s="158" t="s">
        <v>598</v>
      </c>
      <c r="C901" s="2"/>
      <c r="D901" s="2"/>
      <c r="E901" s="2"/>
      <c r="F901" s="2"/>
      <c r="G901" s="2"/>
      <c r="H901" s="2"/>
      <c r="I901" s="2"/>
      <c r="J901" s="2"/>
      <c r="K901" s="2"/>
    </row>
    <row r="902" spans="2:12" ht="20.100000000000001" customHeight="1">
      <c r="B902" s="508" t="s">
        <v>846</v>
      </c>
      <c r="C902" s="2">
        <f>SUM('Budget Detail FY 2013-20'!L1075:L1078)</f>
        <v>18391</v>
      </c>
      <c r="D902" s="2">
        <f>SUM('Budget Detail FY 2013-20'!M1075:M1078)</f>
        <v>26843</v>
      </c>
      <c r="E902" s="2">
        <f>SUM('Budget Detail FY 2013-20'!N1075:N1078)</f>
        <v>35355</v>
      </c>
      <c r="F902" s="2">
        <f>SUM('Budget Detail FY 2013-20'!O1075:O1078)</f>
        <v>27755</v>
      </c>
      <c r="G902" s="2">
        <f>SUM('Budget Detail FY 2013-20'!P1075:P1078)</f>
        <v>27860</v>
      </c>
      <c r="H902" s="2">
        <f>SUM('Budget Detail FY 2013-20'!Q1075:Q1078)</f>
        <v>27865</v>
      </c>
      <c r="I902" s="2">
        <f>SUM('Budget Detail FY 2013-20'!R1075:R1078)</f>
        <v>27975</v>
      </c>
      <c r="J902" s="2">
        <f>SUM('Budget Detail FY 2013-20'!S1075:S1078)</f>
        <v>27975</v>
      </c>
      <c r="K902" s="2">
        <f>SUM('Budget Detail FY 2013-20'!T1075:T1078)</f>
        <v>28075</v>
      </c>
    </row>
    <row r="903" spans="2:12" ht="20.100000000000001" customHeight="1">
      <c r="B903" s="508" t="s">
        <v>848</v>
      </c>
      <c r="C903" s="2">
        <f>SUM('Budget Detail FY 2013-20'!L1079:L1081)</f>
        <v>68034</v>
      </c>
      <c r="D903" s="2">
        <f>SUM('Budget Detail FY 2013-20'!M1079:M1081)</f>
        <v>29568</v>
      </c>
      <c r="E903" s="2">
        <f>SUM('Budget Detail FY 2013-20'!N1079:N1081)</f>
        <v>17433</v>
      </c>
      <c r="F903" s="2">
        <f>SUM('Budget Detail FY 2013-20'!O1079:O1081)</f>
        <v>17420</v>
      </c>
      <c r="G903" s="2">
        <f>SUM('Budget Detail FY 2013-20'!P1079:P1081)</f>
        <v>328170</v>
      </c>
      <c r="H903" s="2">
        <f>SUM('Budget Detail FY 2013-20'!Q1079:Q1081)</f>
        <v>17420</v>
      </c>
      <c r="I903" s="2">
        <f>SUM('Budget Detail FY 2013-20'!R1079:R1081)</f>
        <v>17420</v>
      </c>
      <c r="J903" s="2">
        <f>SUM('Budget Detail FY 2013-20'!S1079:S1081)</f>
        <v>17420</v>
      </c>
      <c r="K903" s="2">
        <f>SUM('Budget Detail FY 2013-20'!T1079:T1081)</f>
        <v>17420</v>
      </c>
    </row>
    <row r="904" spans="2:12" ht="20.100000000000001" customHeight="1">
      <c r="B904" s="509" t="s">
        <v>850</v>
      </c>
      <c r="C904" s="2">
        <f>'Budget Detail FY 2013-20'!L1082</f>
        <v>0</v>
      </c>
      <c r="D904" s="2">
        <f>'Budget Detail FY 2013-20'!M1082</f>
        <v>0</v>
      </c>
      <c r="E904" s="2">
        <f>'Budget Detail FY 2013-20'!N1082</f>
        <v>0</v>
      </c>
      <c r="F904" s="2">
        <f>'Budget Detail FY 2013-20'!O1082</f>
        <v>13500</v>
      </c>
      <c r="G904" s="2">
        <f>'Budget Detail FY 2013-20'!P1082</f>
        <v>0</v>
      </c>
      <c r="H904" s="2">
        <f>'Budget Detail FY 2013-20'!Q1082</f>
        <v>0</v>
      </c>
      <c r="I904" s="2">
        <f>'Budget Detail FY 2013-20'!R1082</f>
        <v>0</v>
      </c>
      <c r="J904" s="2">
        <f>'Budget Detail FY 2013-20'!S1082</f>
        <v>0</v>
      </c>
      <c r="K904" s="2">
        <f>'Budget Detail FY 2013-20'!T1082</f>
        <v>0</v>
      </c>
    </row>
    <row r="905" spans="2:12" ht="20.100000000000001" customHeight="1" thickBot="1">
      <c r="B905" s="153" t="s">
        <v>851</v>
      </c>
      <c r="C905" s="150">
        <f>SUM(C902:C904)</f>
        <v>86425</v>
      </c>
      <c r="D905" s="150">
        <f t="shared" ref="D905:K905" si="139">SUM(D902:D904)</f>
        <v>56411</v>
      </c>
      <c r="E905" s="150">
        <f t="shared" si="139"/>
        <v>52788</v>
      </c>
      <c r="F905" s="150">
        <f t="shared" si="139"/>
        <v>58675</v>
      </c>
      <c r="G905" s="150">
        <f t="shared" si="139"/>
        <v>356030</v>
      </c>
      <c r="H905" s="150">
        <f t="shared" si="139"/>
        <v>45285</v>
      </c>
      <c r="I905" s="150">
        <f t="shared" si="139"/>
        <v>45395</v>
      </c>
      <c r="J905" s="150">
        <f t="shared" si="139"/>
        <v>45395</v>
      </c>
      <c r="K905" s="150">
        <f t="shared" si="139"/>
        <v>45495</v>
      </c>
    </row>
    <row r="906" spans="2:12" s="569" customFormat="1" hidden="1">
      <c r="B906" s="155"/>
      <c r="C906" s="132">
        <f>'Budget Detail FY 2013-20'!L1084</f>
        <v>86425</v>
      </c>
      <c r="D906" s="132">
        <f>'Budget Detail FY 2013-20'!M1084</f>
        <v>56411</v>
      </c>
      <c r="E906" s="132">
        <f>'Budget Detail FY 2013-20'!N1084</f>
        <v>52788</v>
      </c>
      <c r="F906" s="132">
        <f>'Budget Detail FY 2013-20'!O1084</f>
        <v>58675</v>
      </c>
      <c r="G906" s="132">
        <f>'Budget Detail FY 2013-20'!P1084</f>
        <v>356030</v>
      </c>
      <c r="H906" s="132">
        <f>'Budget Detail FY 2013-20'!Q1084</f>
        <v>45285</v>
      </c>
      <c r="I906" s="132">
        <f>'Budget Detail FY 2013-20'!R1084</f>
        <v>45395</v>
      </c>
      <c r="J906" s="132">
        <f>'Budget Detail FY 2013-20'!S1084</f>
        <v>45395</v>
      </c>
      <c r="K906" s="132">
        <f>'Budget Detail FY 2013-20'!T1084</f>
        <v>45495</v>
      </c>
      <c r="L906" s="571" t="s">
        <v>1150</v>
      </c>
    </row>
    <row r="907" spans="2:12" s="570" customFormat="1" hidden="1">
      <c r="B907" s="157"/>
      <c r="C907" s="163">
        <f>C905-C906</f>
        <v>0</v>
      </c>
      <c r="D907" s="163">
        <f t="shared" ref="D907:K907" si="140">D905-D906</f>
        <v>0</v>
      </c>
      <c r="E907" s="163">
        <f t="shared" si="140"/>
        <v>0</v>
      </c>
      <c r="F907" s="163">
        <f t="shared" si="140"/>
        <v>0</v>
      </c>
      <c r="G907" s="163">
        <f t="shared" si="140"/>
        <v>0</v>
      </c>
      <c r="H907" s="163">
        <f t="shared" si="140"/>
        <v>0</v>
      </c>
      <c r="I907" s="163">
        <f t="shared" si="140"/>
        <v>0</v>
      </c>
      <c r="J907" s="163">
        <f t="shared" si="140"/>
        <v>0</v>
      </c>
      <c r="K907" s="163">
        <f t="shared" si="140"/>
        <v>0</v>
      </c>
      <c r="L907" s="571" t="s">
        <v>1151</v>
      </c>
    </row>
    <row r="908" spans="2:12">
      <c r="B908" s="160"/>
      <c r="C908" s="3"/>
      <c r="D908" s="2"/>
      <c r="E908" s="2"/>
      <c r="F908" s="2"/>
      <c r="G908" s="2"/>
      <c r="H908" s="2"/>
      <c r="I908" s="2"/>
      <c r="J908" s="2"/>
      <c r="K908" s="2"/>
    </row>
    <row r="909" spans="2:12" ht="20.100000000000001" customHeight="1">
      <c r="B909" s="510" t="s">
        <v>852</v>
      </c>
      <c r="C909" s="3">
        <f t="shared" ref="C909:J909" si="141">+C897-C905</f>
        <v>-41017</v>
      </c>
      <c r="D909" s="3">
        <f>+D897-D905</f>
        <v>14595</v>
      </c>
      <c r="E909" s="3">
        <f t="shared" si="141"/>
        <v>32287</v>
      </c>
      <c r="F909" s="3">
        <f t="shared" si="141"/>
        <v>1402</v>
      </c>
      <c r="G909" s="3">
        <f t="shared" si="141"/>
        <v>-290980</v>
      </c>
      <c r="H909" s="3">
        <f t="shared" si="141"/>
        <v>24765</v>
      </c>
      <c r="I909" s="3">
        <f t="shared" si="141"/>
        <v>24655</v>
      </c>
      <c r="J909" s="3">
        <f t="shared" si="141"/>
        <v>29655</v>
      </c>
      <c r="K909" s="3">
        <f>+K897-K905</f>
        <v>29555</v>
      </c>
    </row>
    <row r="910" spans="2:12" s="569" customFormat="1" hidden="1">
      <c r="B910" s="161"/>
      <c r="C910" s="132">
        <f>'Budget Detail FY 2013-20'!L1086</f>
        <v>-41017</v>
      </c>
      <c r="D910" s="132">
        <f>'Budget Detail FY 2013-20'!M1086</f>
        <v>14595</v>
      </c>
      <c r="E910" s="132">
        <f>'Budget Detail FY 2013-20'!N1086</f>
        <v>32287</v>
      </c>
      <c r="F910" s="132">
        <f>'Budget Detail FY 2013-20'!O1086</f>
        <v>1402</v>
      </c>
      <c r="G910" s="132">
        <f>'Budget Detail FY 2013-20'!P1086</f>
        <v>-290980</v>
      </c>
      <c r="H910" s="132">
        <f>'Budget Detail FY 2013-20'!Q1086</f>
        <v>24765</v>
      </c>
      <c r="I910" s="132">
        <f>'Budget Detail FY 2013-20'!R1086</f>
        <v>24655</v>
      </c>
      <c r="J910" s="132">
        <f>'Budget Detail FY 2013-20'!S1086</f>
        <v>29655</v>
      </c>
      <c r="K910" s="132">
        <f>'Budget Detail FY 2013-20'!T1086</f>
        <v>29555</v>
      </c>
      <c r="L910" s="571" t="s">
        <v>1150</v>
      </c>
    </row>
    <row r="911" spans="2:12" s="570" customFormat="1" hidden="1">
      <c r="B911" s="162"/>
      <c r="C911" s="163">
        <f>C909-C910</f>
        <v>0</v>
      </c>
      <c r="D911" s="163">
        <f t="shared" ref="D911:K911" si="142">D909-D910</f>
        <v>0</v>
      </c>
      <c r="E911" s="163">
        <f t="shared" si="142"/>
        <v>0</v>
      </c>
      <c r="F911" s="163">
        <f t="shared" si="142"/>
        <v>0</v>
      </c>
      <c r="G911" s="163">
        <f t="shared" si="142"/>
        <v>0</v>
      </c>
      <c r="H911" s="163">
        <f t="shared" si="142"/>
        <v>0</v>
      </c>
      <c r="I911" s="163">
        <f t="shared" si="142"/>
        <v>0</v>
      </c>
      <c r="J911" s="163">
        <f t="shared" si="142"/>
        <v>0</v>
      </c>
      <c r="K911" s="163">
        <f t="shared" si="142"/>
        <v>0</v>
      </c>
      <c r="L911" s="571" t="s">
        <v>1151</v>
      </c>
    </row>
    <row r="912" spans="2:12">
      <c r="B912" s="164"/>
      <c r="C912" s="3"/>
      <c r="D912" s="2"/>
      <c r="E912" s="2"/>
      <c r="F912" s="2"/>
      <c r="G912" s="2"/>
      <c r="H912" s="2"/>
      <c r="I912" s="2"/>
      <c r="J912" s="2"/>
      <c r="K912" s="2"/>
    </row>
    <row r="913" spans="2:12" ht="20.100000000000001" customHeight="1" thickBot="1">
      <c r="B913" s="152" t="s">
        <v>853</v>
      </c>
      <c r="C913" s="83">
        <v>216937</v>
      </c>
      <c r="D913" s="83">
        <v>231529</v>
      </c>
      <c r="E913" s="83">
        <v>265260</v>
      </c>
      <c r="F913" s="83">
        <f>D913+F909</f>
        <v>232931</v>
      </c>
      <c r="G913" s="83">
        <f>F913+G909</f>
        <v>-58049</v>
      </c>
      <c r="H913" s="83">
        <f>G913+H909</f>
        <v>-33284</v>
      </c>
      <c r="I913" s="83">
        <f>H913+I909</f>
        <v>-8629</v>
      </c>
      <c r="J913" s="83">
        <f>I913+J909</f>
        <v>21026</v>
      </c>
      <c r="K913" s="83">
        <f>J913+K909</f>
        <v>50581</v>
      </c>
    </row>
    <row r="914" spans="2:12" s="569" customFormat="1" ht="15.75" hidden="1" thickTop="1">
      <c r="B914" s="155"/>
      <c r="C914" s="132">
        <f>'Budget Detail FY 2013-20'!L1088</f>
        <v>216937</v>
      </c>
      <c r="D914" s="132">
        <f>'Budget Detail FY 2013-20'!M1088</f>
        <v>231529</v>
      </c>
      <c r="E914" s="132">
        <f>'Budget Detail FY 2013-20'!N1088</f>
        <v>265260</v>
      </c>
      <c r="F914" s="132">
        <f>'Budget Detail FY 2013-20'!O1088</f>
        <v>232931</v>
      </c>
      <c r="G914" s="132">
        <f>'Budget Detail FY 2013-20'!P1088</f>
        <v>-58049</v>
      </c>
      <c r="H914" s="132">
        <f>'Budget Detail FY 2013-20'!Q1088</f>
        <v>-33284</v>
      </c>
      <c r="I914" s="132">
        <f>'Budget Detail FY 2013-20'!R1088</f>
        <v>-8629</v>
      </c>
      <c r="J914" s="132">
        <f>'Budget Detail FY 2013-20'!S1088</f>
        <v>21026</v>
      </c>
      <c r="K914" s="132">
        <f>'Budget Detail FY 2013-20'!T1088</f>
        <v>50581</v>
      </c>
      <c r="L914" s="571" t="s">
        <v>1150</v>
      </c>
    </row>
    <row r="915" spans="2:12" s="570" customFormat="1" hidden="1">
      <c r="B915" s="157"/>
      <c r="C915" s="163">
        <f>C913-C914</f>
        <v>0</v>
      </c>
      <c r="D915" s="163">
        <f t="shared" ref="D915:K915" si="143">D913-D914</f>
        <v>0</v>
      </c>
      <c r="E915" s="163">
        <f t="shared" si="143"/>
        <v>0</v>
      </c>
      <c r="F915" s="163">
        <f t="shared" si="143"/>
        <v>0</v>
      </c>
      <c r="G915" s="163">
        <f t="shared" si="143"/>
        <v>0</v>
      </c>
      <c r="H915" s="163">
        <f t="shared" si="143"/>
        <v>0</v>
      </c>
      <c r="I915" s="163">
        <f t="shared" si="143"/>
        <v>0</v>
      </c>
      <c r="J915" s="163">
        <f t="shared" si="143"/>
        <v>0</v>
      </c>
      <c r="K915" s="163">
        <f t="shared" si="143"/>
        <v>0</v>
      </c>
      <c r="L915" s="571" t="s">
        <v>1151</v>
      </c>
    </row>
    <row r="916" spans="2:12" ht="15.75" thickTop="1">
      <c r="B916" s="165"/>
      <c r="C916" s="3"/>
      <c r="D916" s="3"/>
      <c r="E916" s="3"/>
      <c r="F916" s="2"/>
      <c r="G916" s="2"/>
      <c r="H916" s="2"/>
      <c r="I916" s="2"/>
      <c r="J916" s="2"/>
      <c r="K916" s="2"/>
    </row>
    <row r="917" spans="2:12">
      <c r="B917" s="165"/>
      <c r="C917" s="3"/>
      <c r="D917" s="3"/>
      <c r="E917" s="3"/>
      <c r="F917" s="2"/>
      <c r="G917" s="2"/>
      <c r="H917" s="2"/>
      <c r="I917" s="2"/>
      <c r="J917" s="2"/>
      <c r="K917" s="2"/>
    </row>
    <row r="918" spans="2:12">
      <c r="B918" s="165"/>
      <c r="C918" s="2"/>
      <c r="D918" s="2"/>
      <c r="E918" s="2"/>
      <c r="F918" s="2"/>
      <c r="G918" s="2"/>
      <c r="H918" s="2"/>
      <c r="I918" s="2"/>
      <c r="J918" s="2"/>
      <c r="K918" s="2"/>
    </row>
    <row r="919" spans="2:12">
      <c r="B919" s="1"/>
      <c r="C919" s="2"/>
      <c r="D919" s="2"/>
      <c r="E919" s="2"/>
      <c r="F919" s="2"/>
      <c r="G919" s="2"/>
      <c r="H919" s="2"/>
      <c r="I919" s="2"/>
      <c r="J919" s="2"/>
      <c r="K919" s="2"/>
    </row>
    <row r="920" spans="2:12">
      <c r="B920" s="1"/>
      <c r="C920" s="2"/>
      <c r="D920" s="2"/>
      <c r="E920" s="2"/>
      <c r="F920" s="2"/>
      <c r="G920" s="2"/>
      <c r="H920" s="2"/>
      <c r="I920" s="2"/>
      <c r="J920" s="2"/>
      <c r="K920" s="2"/>
    </row>
    <row r="921" spans="2:12">
      <c r="B921" s="1"/>
      <c r="C921" s="2"/>
      <c r="D921" s="2"/>
      <c r="E921" s="2"/>
      <c r="F921" s="2"/>
      <c r="G921" s="2"/>
      <c r="H921" s="2"/>
      <c r="I921" s="2"/>
      <c r="J921" s="2"/>
      <c r="K921" s="2"/>
    </row>
    <row r="922" spans="2:12">
      <c r="B922" s="1"/>
      <c r="C922" s="2"/>
      <c r="D922" s="2"/>
      <c r="E922" s="2"/>
      <c r="F922" s="2"/>
      <c r="G922" s="2"/>
      <c r="H922" s="2"/>
      <c r="I922" s="2"/>
      <c r="J922" s="2"/>
      <c r="K922" s="2"/>
    </row>
    <row r="923" spans="2:12">
      <c r="B923" s="1"/>
      <c r="C923" s="2"/>
      <c r="D923" s="2"/>
      <c r="E923" s="2"/>
      <c r="F923" s="2"/>
      <c r="G923" s="2"/>
      <c r="H923" s="2"/>
      <c r="I923" s="2"/>
      <c r="J923" s="2"/>
      <c r="K923" s="2"/>
    </row>
    <row r="924" spans="2:12">
      <c r="B924" s="1"/>
      <c r="C924" s="2"/>
      <c r="D924" s="2"/>
      <c r="E924" s="2"/>
      <c r="F924" s="2"/>
      <c r="G924" s="2"/>
      <c r="H924" s="2"/>
      <c r="I924" s="2"/>
      <c r="J924" s="2"/>
      <c r="K924" s="2"/>
    </row>
    <row r="925" spans="2:12">
      <c r="B925" s="1"/>
      <c r="C925" s="2"/>
      <c r="D925" s="2"/>
      <c r="E925" s="2"/>
      <c r="F925" s="2"/>
      <c r="G925" s="2"/>
      <c r="H925" s="2"/>
      <c r="I925" s="2"/>
      <c r="J925" s="2"/>
      <c r="K925" s="2"/>
    </row>
    <row r="926" spans="2:12">
      <c r="B926" s="1"/>
      <c r="C926" s="2"/>
      <c r="D926" s="2"/>
      <c r="E926" s="2"/>
      <c r="F926" s="2"/>
      <c r="G926" s="2"/>
      <c r="H926" s="2"/>
      <c r="I926" s="2"/>
      <c r="J926" s="2"/>
      <c r="K926" s="2"/>
    </row>
    <row r="927" spans="2:12">
      <c r="B927" s="1"/>
      <c r="C927" s="2"/>
      <c r="D927" s="2"/>
      <c r="E927" s="2"/>
      <c r="F927" s="2"/>
      <c r="G927" s="2"/>
      <c r="H927" s="2"/>
      <c r="I927" s="2"/>
      <c r="J927" s="2"/>
      <c r="K927" s="2"/>
    </row>
    <row r="928" spans="2:12">
      <c r="B928" s="1"/>
      <c r="C928" s="2"/>
      <c r="D928" s="2"/>
      <c r="E928" s="2"/>
      <c r="F928" s="2"/>
      <c r="G928" s="2"/>
      <c r="H928" s="2"/>
      <c r="I928" s="2"/>
      <c r="J928" s="2"/>
      <c r="K928" s="2"/>
    </row>
    <row r="929" spans="1:11" ht="15.75" customHeight="1">
      <c r="B929" s="1"/>
      <c r="C929" s="2"/>
      <c r="D929" s="2"/>
      <c r="E929" s="2"/>
      <c r="F929" s="2"/>
      <c r="G929" s="2"/>
      <c r="H929" s="2"/>
      <c r="I929" s="2"/>
      <c r="J929" s="2"/>
      <c r="K929" s="2"/>
    </row>
    <row r="930" spans="1:11">
      <c r="A930" s="1"/>
      <c r="B930" s="740" t="s">
        <v>1129</v>
      </c>
      <c r="C930" s="740"/>
      <c r="D930" s="740"/>
      <c r="E930" s="740"/>
      <c r="F930" s="740"/>
      <c r="G930" s="740"/>
      <c r="H930" s="740"/>
      <c r="I930" s="740"/>
      <c r="J930" s="740"/>
      <c r="K930" s="740"/>
    </row>
    <row r="931" spans="1:11" ht="7.5" customHeight="1">
      <c r="A931" s="1"/>
      <c r="B931" s="65"/>
      <c r="C931" s="3"/>
      <c r="D931" s="2"/>
      <c r="E931" s="2"/>
      <c r="F931" s="2"/>
      <c r="G931" s="2"/>
      <c r="H931" s="2"/>
      <c r="I931" s="2"/>
      <c r="J931" s="2"/>
      <c r="K931" s="2"/>
    </row>
    <row r="932" spans="1:11" ht="15" customHeight="1">
      <c r="A932" s="1"/>
      <c r="B932" s="731" t="s">
        <v>1293</v>
      </c>
      <c r="C932" s="731"/>
      <c r="D932" s="731"/>
      <c r="E932" s="731"/>
      <c r="F932" s="731"/>
      <c r="G932" s="731"/>
      <c r="H932" s="731"/>
      <c r="I932" s="731"/>
      <c r="J932" s="731"/>
      <c r="K932" s="731"/>
    </row>
    <row r="933" spans="1:11">
      <c r="A933" s="1"/>
      <c r="B933" s="731"/>
      <c r="C933" s="731"/>
      <c r="D933" s="731"/>
      <c r="E933" s="731"/>
      <c r="F933" s="731"/>
      <c r="G933" s="731"/>
      <c r="H933" s="731"/>
      <c r="I933" s="731"/>
      <c r="J933" s="731"/>
      <c r="K933" s="731"/>
    </row>
    <row r="934" spans="1:11">
      <c r="A934" s="1"/>
      <c r="B934" s="731"/>
      <c r="C934" s="731"/>
      <c r="D934" s="731"/>
      <c r="E934" s="731"/>
      <c r="F934" s="731"/>
      <c r="G934" s="731"/>
      <c r="H934" s="731"/>
      <c r="I934" s="731"/>
      <c r="J934" s="731"/>
      <c r="K934" s="731"/>
    </row>
    <row r="935" spans="1:11">
      <c r="A935" s="1"/>
      <c r="B935" s="731"/>
      <c r="C935" s="731"/>
      <c r="D935" s="731"/>
      <c r="E935" s="731"/>
      <c r="F935" s="731"/>
      <c r="G935" s="731"/>
      <c r="H935" s="731"/>
      <c r="I935" s="731"/>
      <c r="J935" s="731"/>
      <c r="K935" s="731"/>
    </row>
    <row r="936" spans="1:11">
      <c r="A936" s="1"/>
      <c r="B936" s="5"/>
      <c r="C936" s="65"/>
      <c r="D936" s="66"/>
      <c r="E936" s="65" t="s">
        <v>270</v>
      </c>
      <c r="F936" s="1"/>
      <c r="G936" s="1"/>
      <c r="H936" s="1"/>
      <c r="I936" s="1"/>
      <c r="J936" s="1"/>
      <c r="K936" s="1"/>
    </row>
    <row r="937" spans="1:11">
      <c r="A937" s="1"/>
      <c r="B937" s="66"/>
      <c r="C937" s="65" t="s">
        <v>257</v>
      </c>
      <c r="D937" s="49" t="s">
        <v>258</v>
      </c>
      <c r="E937" s="66" t="s">
        <v>832</v>
      </c>
      <c r="F937" s="66" t="s">
        <v>270</v>
      </c>
      <c r="G937" s="66" t="s">
        <v>271</v>
      </c>
      <c r="H937" s="66" t="s">
        <v>272</v>
      </c>
      <c r="I937" s="66" t="s">
        <v>996</v>
      </c>
      <c r="J937" s="66" t="s">
        <v>1101</v>
      </c>
      <c r="K937" s="66" t="s">
        <v>1136</v>
      </c>
    </row>
    <row r="938" spans="1:11" ht="15.75" thickBot="1">
      <c r="A938" s="1"/>
      <c r="B938" s="169"/>
      <c r="C938" s="68" t="s">
        <v>1</v>
      </c>
      <c r="D938" s="68" t="s">
        <v>1</v>
      </c>
      <c r="E938" s="68" t="s">
        <v>787</v>
      </c>
      <c r="F938" s="68" t="s">
        <v>19</v>
      </c>
      <c r="G938" s="68" t="s">
        <v>832</v>
      </c>
      <c r="H938" s="68" t="s">
        <v>19</v>
      </c>
      <c r="I938" s="68" t="s">
        <v>19</v>
      </c>
      <c r="J938" s="68" t="s">
        <v>19</v>
      </c>
      <c r="K938" s="68" t="s">
        <v>19</v>
      </c>
    </row>
    <row r="939" spans="1:11">
      <c r="A939" s="1"/>
      <c r="B939" s="64"/>
      <c r="C939" s="170"/>
      <c r="D939" s="2"/>
      <c r="E939" s="2"/>
      <c r="F939" s="2"/>
      <c r="G939" s="2"/>
      <c r="H939" s="2"/>
      <c r="I939" s="2"/>
      <c r="J939" s="2"/>
      <c r="K939" s="2"/>
    </row>
    <row r="940" spans="1:11">
      <c r="A940" s="1"/>
      <c r="B940" s="158" t="s">
        <v>833</v>
      </c>
      <c r="C940" s="2"/>
      <c r="D940" s="2"/>
      <c r="E940" s="2"/>
      <c r="F940" s="2"/>
      <c r="G940" s="2"/>
      <c r="H940" s="2"/>
      <c r="I940" s="2"/>
      <c r="J940" s="2"/>
      <c r="K940" s="2"/>
    </row>
    <row r="941" spans="1:11" ht="20.100000000000001" customHeight="1">
      <c r="A941" s="1"/>
      <c r="B941" s="506" t="s">
        <v>834</v>
      </c>
      <c r="C941" s="2">
        <f t="shared" ref="C941:K941" si="144">C11+C66+C110+C387+C433+C488+C846+C893</f>
        <v>10091077</v>
      </c>
      <c r="D941" s="2">
        <f t="shared" si="144"/>
        <v>10151358</v>
      </c>
      <c r="E941" s="2">
        <f t="shared" si="144"/>
        <v>10357490</v>
      </c>
      <c r="F941" s="2">
        <f t="shared" si="144"/>
        <v>10444290</v>
      </c>
      <c r="G941" s="2">
        <f t="shared" si="144"/>
        <v>10586145</v>
      </c>
      <c r="H941" s="2">
        <f t="shared" si="144"/>
        <v>10521266</v>
      </c>
      <c r="I941" s="2">
        <f t="shared" si="144"/>
        <v>10590393</v>
      </c>
      <c r="J941" s="2">
        <f t="shared" si="144"/>
        <v>10709232</v>
      </c>
      <c r="K941" s="2">
        <f t="shared" si="144"/>
        <v>10781299</v>
      </c>
    </row>
    <row r="942" spans="1:11" ht="20.100000000000001" customHeight="1">
      <c r="A942" s="1"/>
      <c r="B942" s="506" t="s">
        <v>835</v>
      </c>
      <c r="C942" s="2">
        <f t="shared" ref="C942:K942" si="145">C12+C153+C243+C545</f>
        <v>3055310</v>
      </c>
      <c r="D942" s="2">
        <f t="shared" si="145"/>
        <v>3194624</v>
      </c>
      <c r="E942" s="2">
        <f t="shared" si="145"/>
        <v>2743160</v>
      </c>
      <c r="F942" s="2">
        <f t="shared" si="145"/>
        <v>3234102</v>
      </c>
      <c r="G942" s="2">
        <f t="shared" si="145"/>
        <v>3838538</v>
      </c>
      <c r="H942" s="2">
        <f t="shared" si="145"/>
        <v>3152696</v>
      </c>
      <c r="I942" s="2">
        <f t="shared" si="145"/>
        <v>2658331</v>
      </c>
      <c r="J942" s="2">
        <f t="shared" si="145"/>
        <v>2657827</v>
      </c>
      <c r="K942" s="2">
        <f t="shared" si="145"/>
        <v>2665188</v>
      </c>
    </row>
    <row r="943" spans="1:11" ht="20.100000000000001" customHeight="1">
      <c r="A943" s="1"/>
      <c r="B943" s="507" t="s">
        <v>836</v>
      </c>
      <c r="C943" s="2">
        <f>C13+C200+C244+C388+C434+C489+'Budget Detail FY 2013-20'!L450+'Budget Detail FY 2013-20'!L451+'Budget Detail FY 2013-20'!L452+'Budget Detail FY 2013-20'!L453+'Budget Detail FY 2013-20'!L454+C546</f>
        <v>467098</v>
      </c>
      <c r="D943" s="2">
        <f>D13+D200+D244+D388+D434+D489+'Budget Detail FY 2013-20'!M450+'Budget Detail FY 2013-20'!M451+'Budget Detail FY 2013-20'!M452+'Budget Detail FY 2013-20'!M453+'Budget Detail FY 2013-20'!M454+D546</f>
        <v>439790</v>
      </c>
      <c r="E943" s="2">
        <f>E13+E200+E244+E388+E434+E489+'Budget Detail FY 2013-20'!N450+'Budget Detail FY 2013-20'!N451+'Budget Detail FY 2013-20'!N452+'Budget Detail FY 2013-20'!N453+'Budget Detail FY 2013-20'!N454+E546</f>
        <v>262750</v>
      </c>
      <c r="F943" s="2">
        <f>F13+F200+F244+F388+F434+F489+'Budget Detail FY 2013-20'!O450+'Budget Detail FY 2013-20'!O451+'Budget Detail FY 2013-20'!O452+'Budget Detail FY 2013-20'!O453+'Budget Detail FY 2013-20'!O454+F546</f>
        <v>245000</v>
      </c>
      <c r="G943" s="2">
        <f>G13+G200+G244+G388+G434+G489+'Budget Detail FY 2013-20'!P450+'Budget Detail FY 2013-20'!P451+'Budget Detail FY 2013-20'!P452+'Budget Detail FY 2013-20'!P453+'Budget Detail FY 2013-20'!P454+G546</f>
        <v>267000</v>
      </c>
      <c r="H943" s="2">
        <f>H13+H200+H244+H388+H434+H489+'Budget Detail FY 2013-20'!Q450+'Budget Detail FY 2013-20'!Q451+'Budget Detail FY 2013-20'!Q452+'Budget Detail FY 2013-20'!Q453+'Budget Detail FY 2013-20'!Q454+H546</f>
        <v>267000</v>
      </c>
      <c r="I943" s="2">
        <f>I13+I200+I244+I388+I434+I489+'Budget Detail FY 2013-20'!R450+'Budget Detail FY 2013-20'!R451+'Budget Detail FY 2013-20'!R452+'Budget Detail FY 2013-20'!R453+'Budget Detail FY 2013-20'!R454+I546</f>
        <v>292000</v>
      </c>
      <c r="J943" s="2">
        <f>J13+J200+J244+J388+J434+J489+'Budget Detail FY 2013-20'!S450+'Budget Detail FY 2013-20'!S451+'Budget Detail FY 2013-20'!S452+'Budget Detail FY 2013-20'!S453+'Budget Detail FY 2013-20'!S454+J546</f>
        <v>292000</v>
      </c>
      <c r="K943" s="2">
        <f>K13+K200+K244+K388+K434+K489+'Budget Detail FY 2013-20'!T450+'Budget Detail FY 2013-20'!T451+'Budget Detail FY 2013-20'!T452+'Budget Detail FY 2013-20'!T453+'Budget Detail FY 2013-20'!T454+K546</f>
        <v>292000</v>
      </c>
    </row>
    <row r="944" spans="1:11" ht="20.100000000000001" customHeight="1">
      <c r="A944" s="1"/>
      <c r="B944" s="507" t="s">
        <v>837</v>
      </c>
      <c r="C944" s="2">
        <f>C14+'Budget Detail FY 2013-20'!L456+'Budget Detail FY 2013-20'!L457+'Budget Detail FY 2013-20'!L458</f>
        <v>185883</v>
      </c>
      <c r="D944" s="2">
        <f>D14+'Budget Detail FY 2013-20'!M456+'Budget Detail FY 2013-20'!M457+'Budget Detail FY 2013-20'!M458</f>
        <v>182207</v>
      </c>
      <c r="E944" s="2">
        <f>E14+'Budget Detail FY 2013-20'!N456+'Budget Detail FY 2013-20'!N457+'Budget Detail FY 2013-20'!N458</f>
        <v>186000</v>
      </c>
      <c r="F944" s="2">
        <f>F14+'Budget Detail FY 2013-20'!O456+'Budget Detail FY 2013-20'!O457+'Budget Detail FY 2013-20'!O458</f>
        <v>173000</v>
      </c>
      <c r="G944" s="2">
        <f>G14+'Budget Detail FY 2013-20'!P456+'Budget Detail FY 2013-20'!P457+'Budget Detail FY 2013-20'!P458</f>
        <v>173000</v>
      </c>
      <c r="H944" s="2">
        <f>H14+'Budget Detail FY 2013-20'!Q456+'Budget Detail FY 2013-20'!Q457+'Budget Detail FY 2013-20'!Q458</f>
        <v>173000</v>
      </c>
      <c r="I944" s="2">
        <f>I14+'Budget Detail FY 2013-20'!R456+'Budget Detail FY 2013-20'!R457+'Budget Detail FY 2013-20'!R458</f>
        <v>173000</v>
      </c>
      <c r="J944" s="2">
        <f>J14+'Budget Detail FY 2013-20'!S456+'Budget Detail FY 2013-20'!S457+'Budget Detail FY 2013-20'!S458</f>
        <v>173000</v>
      </c>
      <c r="K944" s="2">
        <f>K14+'Budget Detail FY 2013-20'!T456+'Budget Detail FY 2013-20'!T457+'Budget Detail FY 2013-20'!T458</f>
        <v>173000</v>
      </c>
    </row>
    <row r="945" spans="1:12" ht="20.100000000000001" customHeight="1">
      <c r="A945" s="1"/>
      <c r="B945" s="507" t="s">
        <v>838</v>
      </c>
      <c r="C945" s="2">
        <f>C15+C245+C435+C490+'Budget Detail FY 2013-20'!L459+'Budget Detail FY 2013-20'!L460+'Budget Detail FY 2013-20'!L461</f>
        <v>5297314</v>
      </c>
      <c r="D945" s="2">
        <f>D15+D245+D435+D490+'Budget Detail FY 2013-20'!M459+'Budget Detail FY 2013-20'!M460+'Budget Detail FY 2013-20'!M461</f>
        <v>5441362</v>
      </c>
      <c r="E945" s="2">
        <f>E15+E245+E435+E490+'Budget Detail FY 2013-20'!N459+'Budget Detail FY 2013-20'!N460+'Budget Detail FY 2013-20'!N461</f>
        <v>5869129</v>
      </c>
      <c r="F945" s="2">
        <f>F15+F245+F435+F490+'Budget Detail FY 2013-20'!O459+'Budget Detail FY 2013-20'!O460+'Budget Detail FY 2013-20'!O461</f>
        <v>5700654</v>
      </c>
      <c r="G945" s="2">
        <f>G15+G245+G435+G490+'Budget Detail FY 2013-20'!P459+'Budget Detail FY 2013-20'!P460+'Budget Detail FY 2013-20'!P461</f>
        <v>6793650</v>
      </c>
      <c r="H945" s="2">
        <f>H15+H245+H435+H490+'Budget Detail FY 2013-20'!Q459+'Budget Detail FY 2013-20'!Q460+'Budget Detail FY 2013-20'!Q461</f>
        <v>7085983</v>
      </c>
      <c r="I945" s="2">
        <f>I15+I245+I435+I490+'Budget Detail FY 2013-20'!R459+'Budget Detail FY 2013-20'!R460+'Budget Detail FY 2013-20'!R461</f>
        <v>7146250</v>
      </c>
      <c r="J945" s="2">
        <f>J15+J245+J435+J490+'Budget Detail FY 2013-20'!S459+'Budget Detail FY 2013-20'!S460+'Budget Detail FY 2013-20'!S461</f>
        <v>7208422</v>
      </c>
      <c r="K945" s="2">
        <f>K15+K245+K435+K490+'Budget Detail FY 2013-20'!T459+'Budget Detail FY 2013-20'!T460+'Budget Detail FY 2013-20'!T461</f>
        <v>7405351</v>
      </c>
    </row>
    <row r="946" spans="1:12" ht="20.100000000000001" customHeight="1">
      <c r="A946" s="1"/>
      <c r="B946" s="507" t="s">
        <v>839</v>
      </c>
      <c r="C946" s="2">
        <f>C16+C67+C111+C154+C246+C389+C436+C491+C847+C894+'Budget Detail FY 2013-20'!L463+'Budget Detail FY 2013-20'!L464+C547</f>
        <v>23688</v>
      </c>
      <c r="D946" s="2">
        <f>D16+D67+D111+D154+D246+D389+D436+D491+D847+D894+'Budget Detail FY 2013-20'!M463+'Budget Detail FY 2013-20'!M464+D547</f>
        <v>24148</v>
      </c>
      <c r="E946" s="2">
        <f>E16+E67+E111+E154+E246+E389+E436+E491+E847+E894+'Budget Detail FY 2013-20'!N463+'Budget Detail FY 2013-20'!N464+E547</f>
        <v>22375</v>
      </c>
      <c r="F946" s="2">
        <f>F16+F67+F111+F154+F246+F389+F436+F491+F847+F894+'Budget Detail FY 2013-20'!O463+'Budget Detail FY 2013-20'!O464+F547</f>
        <v>18605</v>
      </c>
      <c r="G946" s="2">
        <f>G16+G67+G111+G154+G246+G389+G436+G491+G847+G894+'Budget Detail FY 2013-20'!P463+'Budget Detail FY 2013-20'!P464+G547</f>
        <v>7550</v>
      </c>
      <c r="H946" s="2">
        <f>H16+H67+H111+H154+H246+H389+H436+H491+H847+H894+'Budget Detail FY 2013-20'!Q463+'Budget Detail FY 2013-20'!Q464+H547</f>
        <v>6550</v>
      </c>
      <c r="I946" s="2">
        <f>I16+I67+I111+I154+I246+I389+I436+I491+I847+I894+'Budget Detail FY 2013-20'!R463+'Budget Detail FY 2013-20'!R464+I547</f>
        <v>6550</v>
      </c>
      <c r="J946" s="2">
        <f>J16+J67+J111+J154+J246+J389+J436+J491+J847+J894+'Budget Detail FY 2013-20'!S463+'Budget Detail FY 2013-20'!S464+J547</f>
        <v>6550</v>
      </c>
      <c r="K946" s="2">
        <f>K16+K67+K111+K154+K246+K389+K436+K491+K847+K894+'Budget Detail FY 2013-20'!T463+'Budget Detail FY 2013-20'!T464+K547</f>
        <v>6550</v>
      </c>
    </row>
    <row r="947" spans="1:12" ht="20.100000000000001" customHeight="1">
      <c r="A947" s="1"/>
      <c r="B947" s="507" t="s">
        <v>840</v>
      </c>
      <c r="C947" s="2">
        <f t="shared" ref="C947:K947" si="146">C17+C155+C247+C437+C492+C549</f>
        <v>277183</v>
      </c>
      <c r="D947" s="2">
        <f t="shared" si="146"/>
        <v>274584</v>
      </c>
      <c r="E947" s="2">
        <f t="shared" si="146"/>
        <v>965630</v>
      </c>
      <c r="F947" s="2">
        <f t="shared" si="146"/>
        <v>1731929</v>
      </c>
      <c r="G947" s="2">
        <f t="shared" si="146"/>
        <v>347700</v>
      </c>
      <c r="H947" s="2">
        <f t="shared" si="146"/>
        <v>574740</v>
      </c>
      <c r="I947" s="2">
        <f t="shared" si="146"/>
        <v>312780</v>
      </c>
      <c r="J947" s="2">
        <f t="shared" si="146"/>
        <v>280000</v>
      </c>
      <c r="K947" s="2">
        <f t="shared" si="146"/>
        <v>280000</v>
      </c>
    </row>
    <row r="948" spans="1:12" ht="20.100000000000001" customHeight="1">
      <c r="A948" s="1"/>
      <c r="B948" s="507" t="s">
        <v>871</v>
      </c>
      <c r="C948" s="2">
        <f>C548</f>
        <v>68768</v>
      </c>
      <c r="D948" s="2">
        <f t="shared" ref="D948:K948" si="147">D548</f>
        <v>54579</v>
      </c>
      <c r="E948" s="2">
        <f t="shared" si="147"/>
        <v>23000</v>
      </c>
      <c r="F948" s="2">
        <f t="shared" si="147"/>
        <v>38405</v>
      </c>
      <c r="G948" s="2">
        <f t="shared" si="147"/>
        <v>30500</v>
      </c>
      <c r="H948" s="2">
        <f t="shared" si="147"/>
        <v>30500</v>
      </c>
      <c r="I948" s="2">
        <f t="shared" si="147"/>
        <v>30500</v>
      </c>
      <c r="J948" s="2">
        <f t="shared" si="147"/>
        <v>30500</v>
      </c>
      <c r="K948" s="2">
        <f t="shared" si="147"/>
        <v>30500</v>
      </c>
    </row>
    <row r="949" spans="1:12" ht="20.100000000000001" customHeight="1">
      <c r="A949" s="1"/>
      <c r="B949" s="507" t="s">
        <v>841</v>
      </c>
      <c r="C949" s="2">
        <f>C18+C438+'Budget Detail FY 2013-20'!L467+'Budget Detail FY 2013-20'!L468+C895</f>
        <v>187154</v>
      </c>
      <c r="D949" s="2">
        <f>D18+D438+'Budget Detail FY 2013-20'!M467+'Budget Detail FY 2013-20'!M468+D895</f>
        <v>76430</v>
      </c>
      <c r="E949" s="2">
        <f>E18+E438+'Budget Detail FY 2013-20'!N467+'Budget Detail FY 2013-20'!N468+E895</f>
        <v>69203</v>
      </c>
      <c r="F949" s="2">
        <f>F18+F438+'Budget Detail FY 2013-20'!O467+'Budget Detail FY 2013-20'!O468+F895</f>
        <v>81224</v>
      </c>
      <c r="G949" s="2">
        <f>G18+G438+'Budget Detail FY 2013-20'!P467+'Budget Detail FY 2013-20'!P468+G895</f>
        <v>79807</v>
      </c>
      <c r="H949" s="2">
        <f>H18+H438+'Budget Detail FY 2013-20'!Q467+'Budget Detail FY 2013-20'!Q468+H895</f>
        <v>82933</v>
      </c>
      <c r="I949" s="2">
        <f>I18+I438+'Budget Detail FY 2013-20'!R467+'Budget Detail FY 2013-20'!R468+I895</f>
        <v>84082</v>
      </c>
      <c r="J949" s="2">
        <f>J18+J438+'Budget Detail FY 2013-20'!S467+'Budget Detail FY 2013-20'!S468+J895</f>
        <v>85254</v>
      </c>
      <c r="K949" s="2">
        <f>K18+K438+'Budget Detail FY 2013-20'!T467+'Budget Detail FY 2013-20'!T468+K895</f>
        <v>86449</v>
      </c>
    </row>
    <row r="950" spans="1:12" ht="20.100000000000001" customHeight="1">
      <c r="A950" s="1"/>
      <c r="B950" s="507" t="s">
        <v>842</v>
      </c>
      <c r="C950" s="2">
        <f>C19+C201+C248+C390+C439+C493+C550+C896+'Budget Detail FY 2013-20'!L469+'Budget Detail FY 2013-20'!L470+'Budget Detail FY 2013-20'!L471+C848+C156</f>
        <v>646635</v>
      </c>
      <c r="D950" s="2">
        <f>D19+D201+D248+D390+D439+D493+D550+D896+'Budget Detail FY 2013-20'!M469+'Budget Detail FY 2013-20'!M470+'Budget Detail FY 2013-20'!M471+D848+D156</f>
        <v>3559991</v>
      </c>
      <c r="E950" s="2">
        <f>E19+E201+E248+E390+E439+E493+E550+E896+'Budget Detail FY 2013-20'!N469+'Budget Detail FY 2013-20'!N470+'Budget Detail FY 2013-20'!N471+E848+E156</f>
        <v>6293810</v>
      </c>
      <c r="F950" s="2">
        <f>F19+F201+F248+F390+F439+F493+F550+F896+'Budget Detail FY 2013-20'!O469+'Budget Detail FY 2013-20'!O470+'Budget Detail FY 2013-20'!O471+F848+F156</f>
        <v>8231389</v>
      </c>
      <c r="G950" s="2">
        <f>G19+G201+G248+G390+G439+G493+G550+G896+'Budget Detail FY 2013-20'!P469+'Budget Detail FY 2013-20'!P470+'Budget Detail FY 2013-20'!P471+G848+G156</f>
        <v>5901116</v>
      </c>
      <c r="H950" s="2">
        <f>H19+H201+H248+H390+H439+H493+H550+H896+'Budget Detail FY 2013-20'!Q469+'Budget Detail FY 2013-20'!Q470+'Budget Detail FY 2013-20'!Q471+H848+H156</f>
        <v>1571538</v>
      </c>
      <c r="I950" s="2">
        <f>I19+I201+I248+I390+I439+I493+I550+I896+'Budget Detail FY 2013-20'!R469+'Budget Detail FY 2013-20'!R470+'Budget Detail FY 2013-20'!R471+I848+I156</f>
        <v>1594816</v>
      </c>
      <c r="J950" s="2">
        <f>J19+J201+J248+J390+J439+J493+J550+J896+'Budget Detail FY 2013-20'!S469+'Budget Detail FY 2013-20'!S470+'Budget Detail FY 2013-20'!S471+J848+J156</f>
        <v>1599732</v>
      </c>
      <c r="K950" s="2">
        <f>K19+K201+K248+K390+K439+K493+K550+K896+'Budget Detail FY 2013-20'!T469+'Budget Detail FY 2013-20'!T470+'Budget Detail FY 2013-20'!T471+K848+K156</f>
        <v>1595564</v>
      </c>
    </row>
    <row r="951" spans="1:12" ht="20.100000000000001" customHeight="1" thickBot="1">
      <c r="A951" s="1"/>
      <c r="B951" s="153" t="s">
        <v>843</v>
      </c>
      <c r="C951" s="150">
        <f t="shared" ref="C951:K951" si="148">SUM(C941:C950)</f>
        <v>20300110</v>
      </c>
      <c r="D951" s="150">
        <f t="shared" si="148"/>
        <v>23399073</v>
      </c>
      <c r="E951" s="150">
        <f t="shared" si="148"/>
        <v>26792547</v>
      </c>
      <c r="F951" s="150">
        <f t="shared" si="148"/>
        <v>29898598</v>
      </c>
      <c r="G951" s="150">
        <f t="shared" si="148"/>
        <v>28025006</v>
      </c>
      <c r="H951" s="150">
        <f t="shared" si="148"/>
        <v>23466206</v>
      </c>
      <c r="I951" s="150">
        <f t="shared" si="148"/>
        <v>22888702</v>
      </c>
      <c r="J951" s="150">
        <f t="shared" si="148"/>
        <v>23042517</v>
      </c>
      <c r="K951" s="150">
        <f t="shared" si="148"/>
        <v>23315901</v>
      </c>
    </row>
    <row r="952" spans="1:12" s="569" customFormat="1" hidden="1">
      <c r="A952" s="179"/>
      <c r="B952" s="155"/>
      <c r="C952" s="132">
        <f>'Budget Detail FY 2013-20'!L62+'Budget Detail FY 2013-20'!L289+'Budget Detail FY 2013-20'!L307+'Budget Detail FY 2013-20'!L333+'Budget Detail FY 2013-20'!L363+'Budget Detail FY 2013-20'!L398+'Budget Detail FY 2013-20'!L450+'Budget Detail FY 2013-20'!L451+'Budget Detail FY 2013-20'!L452+'Budget Detail FY 2013-20'!L453+'Budget Detail FY 2013-20'!L454+'Budget Detail FY 2013-20'!L456+'Budget Detail FY 2013-20'!L457+'Budget Detail FY 2013-20'!L458+'Budget Detail FY 2013-20'!L459+'Budget Detail FY 2013-20'!L460+'Budget Detail FY 2013-20'!L461+'Budget Detail FY 2013-20'!L463+'Budget Detail FY 2013-20'!L464+'Budget Detail FY 2013-20'!L467+'Budget Detail FY 2013-20'!L468+'Budget Detail FY 2013-20'!L469+'Budget Detail FY 2013-20'!L470+'Budget Detail FY 2013-20'!L471+'Budget Detail FY 2013-20'!L532+'Budget Detail FY 2013-20'!L576+'Budget Detail FY 2013-20'!L681+'Budget Detail FY 2013-20'!L767+'Budget Detail FY 2013-20'!L1041+'Budget Detail FY 2013-20'!L1073</f>
        <v>20300110</v>
      </c>
      <c r="D952" s="132">
        <f>'Budget Detail FY 2013-20'!M62+'Budget Detail FY 2013-20'!M289+'Budget Detail FY 2013-20'!M307+'Budget Detail FY 2013-20'!M333+'Budget Detail FY 2013-20'!M363+'Budget Detail FY 2013-20'!M398+'Budget Detail FY 2013-20'!M450+'Budget Detail FY 2013-20'!M451+'Budget Detail FY 2013-20'!M452+'Budget Detail FY 2013-20'!M453+'Budget Detail FY 2013-20'!M454+'Budget Detail FY 2013-20'!M456+'Budget Detail FY 2013-20'!M457+'Budget Detail FY 2013-20'!M458+'Budget Detail FY 2013-20'!M459+'Budget Detail FY 2013-20'!M460+'Budget Detail FY 2013-20'!M461+'Budget Detail FY 2013-20'!M463+'Budget Detail FY 2013-20'!M464+'Budget Detail FY 2013-20'!M467+'Budget Detail FY 2013-20'!M468+'Budget Detail FY 2013-20'!M469+'Budget Detail FY 2013-20'!M470+'Budget Detail FY 2013-20'!M471+'Budget Detail FY 2013-20'!M532+'Budget Detail FY 2013-20'!M576+'Budget Detail FY 2013-20'!M681+'Budget Detail FY 2013-20'!M767+'Budget Detail FY 2013-20'!M1041+'Budget Detail FY 2013-20'!M1073</f>
        <v>23399073</v>
      </c>
      <c r="E952" s="132">
        <f>'Budget Detail FY 2013-20'!N62+'Budget Detail FY 2013-20'!N289+'Budget Detail FY 2013-20'!N307+'Budget Detail FY 2013-20'!N333+'Budget Detail FY 2013-20'!N363+'Budget Detail FY 2013-20'!N398+'Budget Detail FY 2013-20'!N450+'Budget Detail FY 2013-20'!N451+'Budget Detail FY 2013-20'!N452+'Budget Detail FY 2013-20'!N453+'Budget Detail FY 2013-20'!N454+'Budget Detail FY 2013-20'!N456+'Budget Detail FY 2013-20'!N457+'Budget Detail FY 2013-20'!N458+'Budget Detail FY 2013-20'!N459+'Budget Detail FY 2013-20'!N460+'Budget Detail FY 2013-20'!N461+'Budget Detail FY 2013-20'!N463+'Budget Detail FY 2013-20'!N464+'Budget Detail FY 2013-20'!N467+'Budget Detail FY 2013-20'!N468+'Budget Detail FY 2013-20'!N469+'Budget Detail FY 2013-20'!N470+'Budget Detail FY 2013-20'!N471+'Budget Detail FY 2013-20'!N532+'Budget Detail FY 2013-20'!N576+'Budget Detail FY 2013-20'!N681+'Budget Detail FY 2013-20'!N767+'Budget Detail FY 2013-20'!N1041+'Budget Detail FY 2013-20'!N1073</f>
        <v>26792547</v>
      </c>
      <c r="F952" s="132">
        <f>'Budget Detail FY 2013-20'!O62+'Budget Detail FY 2013-20'!O289+'Budget Detail FY 2013-20'!O307+'Budget Detail FY 2013-20'!O333+'Budget Detail FY 2013-20'!O363+'Budget Detail FY 2013-20'!O398+'Budget Detail FY 2013-20'!O450+'Budget Detail FY 2013-20'!O451+'Budget Detail FY 2013-20'!O452+'Budget Detail FY 2013-20'!O453+'Budget Detail FY 2013-20'!O454+'Budget Detail FY 2013-20'!O456+'Budget Detail FY 2013-20'!O457+'Budget Detail FY 2013-20'!O458+'Budget Detail FY 2013-20'!O459+'Budget Detail FY 2013-20'!O460+'Budget Detail FY 2013-20'!O461+'Budget Detail FY 2013-20'!O463+'Budget Detail FY 2013-20'!O464+'Budget Detail FY 2013-20'!O467+'Budget Detail FY 2013-20'!O468+'Budget Detail FY 2013-20'!O469+'Budget Detail FY 2013-20'!O470+'Budget Detail FY 2013-20'!O471+'Budget Detail FY 2013-20'!O532+'Budget Detail FY 2013-20'!O576+'Budget Detail FY 2013-20'!O681+'Budget Detail FY 2013-20'!O767+'Budget Detail FY 2013-20'!O1041+'Budget Detail FY 2013-20'!O1073</f>
        <v>29898598</v>
      </c>
      <c r="G952" s="132">
        <f>'Budget Detail FY 2013-20'!P62+'Budget Detail FY 2013-20'!P289+'Budget Detail FY 2013-20'!P307+'Budget Detail FY 2013-20'!P333+'Budget Detail FY 2013-20'!P363+'Budget Detail FY 2013-20'!P398+'Budget Detail FY 2013-20'!P450+'Budget Detail FY 2013-20'!P451+'Budget Detail FY 2013-20'!P452+'Budget Detail FY 2013-20'!P453+'Budget Detail FY 2013-20'!P454+'Budget Detail FY 2013-20'!P456+'Budget Detail FY 2013-20'!P457+'Budget Detail FY 2013-20'!P458+'Budget Detail FY 2013-20'!P459+'Budget Detail FY 2013-20'!P460+'Budget Detail FY 2013-20'!P461+'Budget Detail FY 2013-20'!P463+'Budget Detail FY 2013-20'!P464+'Budget Detail FY 2013-20'!P467+'Budget Detail FY 2013-20'!P468+'Budget Detail FY 2013-20'!P469+'Budget Detail FY 2013-20'!P470+'Budget Detail FY 2013-20'!P471+'Budget Detail FY 2013-20'!P532+'Budget Detail FY 2013-20'!P576+'Budget Detail FY 2013-20'!P681+'Budget Detail FY 2013-20'!P767+'Budget Detail FY 2013-20'!P1041+'Budget Detail FY 2013-20'!P1073</f>
        <v>28025006</v>
      </c>
      <c r="H952" s="132">
        <f>'Budget Detail FY 2013-20'!Q62+'Budget Detail FY 2013-20'!Q289+'Budget Detail FY 2013-20'!Q307+'Budget Detail FY 2013-20'!Q333+'Budget Detail FY 2013-20'!Q363+'Budget Detail FY 2013-20'!Q398+'Budget Detail FY 2013-20'!Q450+'Budget Detail FY 2013-20'!Q451+'Budget Detail FY 2013-20'!Q452+'Budget Detail FY 2013-20'!Q453+'Budget Detail FY 2013-20'!Q454+'Budget Detail FY 2013-20'!Q456+'Budget Detail FY 2013-20'!Q457+'Budget Detail FY 2013-20'!Q458+'Budget Detail FY 2013-20'!Q459+'Budget Detail FY 2013-20'!Q460+'Budget Detail FY 2013-20'!Q461+'Budget Detail FY 2013-20'!Q463+'Budget Detail FY 2013-20'!Q464+'Budget Detail FY 2013-20'!Q467+'Budget Detail FY 2013-20'!Q468+'Budget Detail FY 2013-20'!Q469+'Budget Detail FY 2013-20'!Q470+'Budget Detail FY 2013-20'!Q471+'Budget Detail FY 2013-20'!Q532+'Budget Detail FY 2013-20'!Q576+'Budget Detail FY 2013-20'!Q681+'Budget Detail FY 2013-20'!Q767+'Budget Detail FY 2013-20'!Q1041+'Budget Detail FY 2013-20'!Q1073</f>
        <v>23466206</v>
      </c>
      <c r="I952" s="132">
        <f>'Budget Detail FY 2013-20'!R62+'Budget Detail FY 2013-20'!R289+'Budget Detail FY 2013-20'!R307+'Budget Detail FY 2013-20'!R333+'Budget Detail FY 2013-20'!R363+'Budget Detail FY 2013-20'!R398+'Budget Detail FY 2013-20'!R450+'Budget Detail FY 2013-20'!R451+'Budget Detail FY 2013-20'!R452+'Budget Detail FY 2013-20'!R453+'Budget Detail FY 2013-20'!R454+'Budget Detail FY 2013-20'!R456+'Budget Detail FY 2013-20'!R457+'Budget Detail FY 2013-20'!R458+'Budget Detail FY 2013-20'!R459+'Budget Detail FY 2013-20'!R460+'Budget Detail FY 2013-20'!R461+'Budget Detail FY 2013-20'!R463+'Budget Detail FY 2013-20'!R464+'Budget Detail FY 2013-20'!R467+'Budget Detail FY 2013-20'!R468+'Budget Detail FY 2013-20'!R469+'Budget Detail FY 2013-20'!R470+'Budget Detail FY 2013-20'!R471+'Budget Detail FY 2013-20'!R532+'Budget Detail FY 2013-20'!R576+'Budget Detail FY 2013-20'!R681+'Budget Detail FY 2013-20'!R767+'Budget Detail FY 2013-20'!R1041+'Budget Detail FY 2013-20'!R1073</f>
        <v>22888702</v>
      </c>
      <c r="J952" s="132">
        <f>'Budget Detail FY 2013-20'!S62+'Budget Detail FY 2013-20'!S289+'Budget Detail FY 2013-20'!S307+'Budget Detail FY 2013-20'!S333+'Budget Detail FY 2013-20'!S363+'Budget Detail FY 2013-20'!S398+'Budget Detail FY 2013-20'!S450+'Budget Detail FY 2013-20'!S451+'Budget Detail FY 2013-20'!S452+'Budget Detail FY 2013-20'!S453+'Budget Detail FY 2013-20'!S454+'Budget Detail FY 2013-20'!S456+'Budget Detail FY 2013-20'!S457+'Budget Detail FY 2013-20'!S458+'Budget Detail FY 2013-20'!S459+'Budget Detail FY 2013-20'!S460+'Budget Detail FY 2013-20'!S461+'Budget Detail FY 2013-20'!S463+'Budget Detail FY 2013-20'!S464+'Budget Detail FY 2013-20'!S467+'Budget Detail FY 2013-20'!S468+'Budget Detail FY 2013-20'!S469+'Budget Detail FY 2013-20'!S470+'Budget Detail FY 2013-20'!S471+'Budget Detail FY 2013-20'!S532+'Budget Detail FY 2013-20'!S576+'Budget Detail FY 2013-20'!S681+'Budget Detail FY 2013-20'!S767+'Budget Detail FY 2013-20'!S1041+'Budget Detail FY 2013-20'!S1073</f>
        <v>23042517</v>
      </c>
      <c r="K952" s="132">
        <f>'Budget Detail FY 2013-20'!T62+'Budget Detail FY 2013-20'!T289+'Budget Detail FY 2013-20'!T307+'Budget Detail FY 2013-20'!T333+'Budget Detail FY 2013-20'!T363+'Budget Detail FY 2013-20'!T398+'Budget Detail FY 2013-20'!T450+'Budget Detail FY 2013-20'!T451+'Budget Detail FY 2013-20'!T452+'Budget Detail FY 2013-20'!T453+'Budget Detail FY 2013-20'!T454+'Budget Detail FY 2013-20'!T456+'Budget Detail FY 2013-20'!T457+'Budget Detail FY 2013-20'!T458+'Budget Detail FY 2013-20'!T459+'Budget Detail FY 2013-20'!T460+'Budget Detail FY 2013-20'!T461+'Budget Detail FY 2013-20'!T463+'Budget Detail FY 2013-20'!T464+'Budget Detail FY 2013-20'!T467+'Budget Detail FY 2013-20'!T468+'Budget Detail FY 2013-20'!T469+'Budget Detail FY 2013-20'!T470+'Budget Detail FY 2013-20'!T471+'Budget Detail FY 2013-20'!T532+'Budget Detail FY 2013-20'!T576+'Budget Detail FY 2013-20'!T681+'Budget Detail FY 2013-20'!T767+'Budget Detail FY 2013-20'!T1041+'Budget Detail FY 2013-20'!T1073</f>
        <v>23315901</v>
      </c>
      <c r="L952" s="571" t="s">
        <v>1150</v>
      </c>
    </row>
    <row r="953" spans="1:12" s="570" customFormat="1" hidden="1">
      <c r="A953" s="180"/>
      <c r="B953" s="157"/>
      <c r="C953" s="133">
        <f>C951-C952</f>
        <v>0</v>
      </c>
      <c r="D953" s="133">
        <f>D951-D952</f>
        <v>0</v>
      </c>
      <c r="E953" s="133">
        <f t="shared" ref="E953:K953" si="149">E951-E952</f>
        <v>0</v>
      </c>
      <c r="F953" s="133">
        <f t="shared" si="149"/>
        <v>0</v>
      </c>
      <c r="G953" s="133">
        <f>G951-G952</f>
        <v>0</v>
      </c>
      <c r="H953" s="133">
        <f t="shared" si="149"/>
        <v>0</v>
      </c>
      <c r="I953" s="133">
        <f t="shared" si="149"/>
        <v>0</v>
      </c>
      <c r="J953" s="133">
        <f t="shared" si="149"/>
        <v>0</v>
      </c>
      <c r="K953" s="133">
        <f t="shared" si="149"/>
        <v>0</v>
      </c>
      <c r="L953" s="571" t="s">
        <v>1151</v>
      </c>
    </row>
    <row r="954" spans="1:12" ht="7.5" customHeight="1">
      <c r="A954" s="1"/>
      <c r="B954" s="1"/>
      <c r="C954" s="2"/>
      <c r="D954" s="2"/>
      <c r="E954" s="2"/>
      <c r="F954" s="2"/>
      <c r="G954" s="2"/>
      <c r="H954" s="2"/>
      <c r="I954" s="2"/>
      <c r="J954" s="2"/>
      <c r="K954" s="2"/>
    </row>
    <row r="955" spans="1:12">
      <c r="A955" s="1"/>
      <c r="B955" s="158" t="s">
        <v>598</v>
      </c>
      <c r="C955" s="2"/>
      <c r="D955" s="2"/>
      <c r="E955" s="2"/>
      <c r="F955" s="2"/>
      <c r="G955" s="2"/>
      <c r="H955" s="2"/>
      <c r="I955" s="2"/>
      <c r="J955" s="2"/>
      <c r="K955" s="2"/>
    </row>
    <row r="956" spans="1:12" ht="20.100000000000001" customHeight="1">
      <c r="A956" s="1"/>
      <c r="B956" s="508" t="s">
        <v>844</v>
      </c>
      <c r="C956" s="2">
        <f t="shared" ref="C956:K956" si="150">C25+C445+C499</f>
        <v>3698231</v>
      </c>
      <c r="D956" s="2">
        <f t="shared" si="150"/>
        <v>3940893</v>
      </c>
      <c r="E956" s="2">
        <f t="shared" si="150"/>
        <v>4514382</v>
      </c>
      <c r="F956" s="2">
        <f t="shared" si="150"/>
        <v>4508882</v>
      </c>
      <c r="G956" s="2">
        <f t="shared" si="150"/>
        <v>4729588</v>
      </c>
      <c r="H956" s="2">
        <f t="shared" si="150"/>
        <v>4883631</v>
      </c>
      <c r="I956" s="2">
        <f t="shared" si="150"/>
        <v>5039442</v>
      </c>
      <c r="J956" s="2">
        <f t="shared" si="150"/>
        <v>5200705</v>
      </c>
      <c r="K956" s="2">
        <f t="shared" si="150"/>
        <v>5367615</v>
      </c>
    </row>
    <row r="957" spans="1:12" ht="20.100000000000001" customHeight="1">
      <c r="A957" s="1"/>
      <c r="B957" s="508" t="s">
        <v>845</v>
      </c>
      <c r="C957" s="2">
        <f t="shared" ref="C957:K957" si="151">C26+C446+C500</f>
        <v>2180578</v>
      </c>
      <c r="D957" s="2">
        <f t="shared" si="151"/>
        <v>2318694</v>
      </c>
      <c r="E957" s="2">
        <f t="shared" si="151"/>
        <v>2790338</v>
      </c>
      <c r="F957" s="2">
        <f t="shared" si="151"/>
        <v>2748466</v>
      </c>
      <c r="G957" s="2">
        <f t="shared" si="151"/>
        <v>2912688</v>
      </c>
      <c r="H957" s="2">
        <f t="shared" si="151"/>
        <v>3111678</v>
      </c>
      <c r="I957" s="2">
        <f t="shared" si="151"/>
        <v>3416350</v>
      </c>
      <c r="J957" s="2">
        <f t="shared" si="151"/>
        <v>3650573</v>
      </c>
      <c r="K957" s="2">
        <f t="shared" si="151"/>
        <v>3899203</v>
      </c>
    </row>
    <row r="958" spans="1:12" ht="20.100000000000001" customHeight="1">
      <c r="A958" s="1"/>
      <c r="B958" s="508" t="s">
        <v>846</v>
      </c>
      <c r="C958" s="2">
        <f t="shared" ref="C958:K958" si="152">C27+C73+C117+C162+C207+C254+C317+C324+C396+C447+C501+C556+C854+C902</f>
        <v>4371281</v>
      </c>
      <c r="D958" s="2">
        <f t="shared" si="152"/>
        <v>6931422</v>
      </c>
      <c r="E958" s="2">
        <f t="shared" si="152"/>
        <v>5244903</v>
      </c>
      <c r="F958" s="2">
        <f t="shared" si="152"/>
        <v>5698815</v>
      </c>
      <c r="G958" s="2">
        <f t="shared" si="152"/>
        <v>6032724</v>
      </c>
      <c r="H958" s="2">
        <f t="shared" si="152"/>
        <v>5598753</v>
      </c>
      <c r="I958" s="2">
        <f t="shared" si="152"/>
        <v>5668400</v>
      </c>
      <c r="J958" s="2">
        <f t="shared" si="152"/>
        <v>5782032</v>
      </c>
      <c r="K958" s="2">
        <f t="shared" si="152"/>
        <v>5890193</v>
      </c>
    </row>
    <row r="959" spans="1:12" ht="20.100000000000001" customHeight="1">
      <c r="A959" s="1"/>
      <c r="B959" s="508" t="s">
        <v>847</v>
      </c>
      <c r="C959" s="2">
        <f t="shared" ref="C959:K959" si="153">C28+C163+C255+C325+C448+C502</f>
        <v>690841</v>
      </c>
      <c r="D959" s="2">
        <f t="shared" si="153"/>
        <v>665200</v>
      </c>
      <c r="E959" s="2">
        <f t="shared" si="153"/>
        <v>897389</v>
      </c>
      <c r="F959" s="2">
        <f t="shared" si="153"/>
        <v>895289</v>
      </c>
      <c r="G959" s="2">
        <f t="shared" si="153"/>
        <v>912966</v>
      </c>
      <c r="H959" s="2">
        <f t="shared" si="153"/>
        <v>931572</v>
      </c>
      <c r="I959" s="2">
        <f t="shared" si="153"/>
        <v>948142</v>
      </c>
      <c r="J959" s="2">
        <f t="shared" si="153"/>
        <v>965849</v>
      </c>
      <c r="K959" s="2">
        <f t="shared" si="153"/>
        <v>984771</v>
      </c>
    </row>
    <row r="960" spans="1:12" ht="20.100000000000001" customHeight="1">
      <c r="A960" s="1"/>
      <c r="B960" s="508" t="s">
        <v>848</v>
      </c>
      <c r="C960" s="2">
        <f t="shared" ref="C960:K960" si="154">C164+C256+C318+C326+C449+C503+C557+C903+C856</f>
        <v>721564</v>
      </c>
      <c r="D960" s="2">
        <f t="shared" si="154"/>
        <v>2455989</v>
      </c>
      <c r="E960" s="2">
        <f t="shared" si="154"/>
        <v>4766735</v>
      </c>
      <c r="F960" s="2">
        <f t="shared" si="154"/>
        <v>4756191</v>
      </c>
      <c r="G960" s="2">
        <f t="shared" si="154"/>
        <v>12632671</v>
      </c>
      <c r="H960" s="2">
        <f t="shared" si="154"/>
        <v>2583166</v>
      </c>
      <c r="I960" s="2">
        <f t="shared" si="154"/>
        <v>2682598</v>
      </c>
      <c r="J960" s="2">
        <f t="shared" si="154"/>
        <v>2059184</v>
      </c>
      <c r="K960" s="2">
        <f t="shared" si="154"/>
        <v>1557823</v>
      </c>
    </row>
    <row r="961" spans="1:12" ht="20.100000000000001" customHeight="1">
      <c r="A961" s="1"/>
      <c r="B961" s="509" t="s">
        <v>849</v>
      </c>
      <c r="C961" s="2">
        <f>C29</f>
        <v>0</v>
      </c>
      <c r="D961" s="2">
        <f t="shared" ref="D961:K961" si="155">D29</f>
        <v>11676</v>
      </c>
      <c r="E961" s="2">
        <f t="shared" si="155"/>
        <v>0</v>
      </c>
      <c r="F961" s="2">
        <f t="shared" si="155"/>
        <v>0</v>
      </c>
      <c r="G961" s="2">
        <f t="shared" si="155"/>
        <v>0</v>
      </c>
      <c r="H961" s="2">
        <f t="shared" si="155"/>
        <v>0</v>
      </c>
      <c r="I961" s="2">
        <f t="shared" si="155"/>
        <v>0</v>
      </c>
      <c r="J961" s="2">
        <f t="shared" si="155"/>
        <v>0</v>
      </c>
      <c r="K961" s="2">
        <f t="shared" si="155"/>
        <v>0</v>
      </c>
    </row>
    <row r="962" spans="1:12" ht="20.100000000000001" customHeight="1">
      <c r="A962" s="1"/>
      <c r="B962" s="509" t="s">
        <v>864</v>
      </c>
      <c r="C962" s="2">
        <f>C450+C504</f>
        <v>191917</v>
      </c>
      <c r="D962" s="2">
        <f t="shared" ref="D962:K962" si="156">D450+D504</f>
        <v>0</v>
      </c>
      <c r="E962" s="2">
        <f t="shared" si="156"/>
        <v>0</v>
      </c>
      <c r="F962" s="2">
        <f t="shared" si="156"/>
        <v>62922</v>
      </c>
      <c r="G962" s="2">
        <f t="shared" si="156"/>
        <v>32891</v>
      </c>
      <c r="H962" s="2">
        <f t="shared" si="156"/>
        <v>33872</v>
      </c>
      <c r="I962" s="2">
        <f t="shared" si="156"/>
        <v>34888</v>
      </c>
      <c r="J962" s="2">
        <f t="shared" si="156"/>
        <v>35939</v>
      </c>
      <c r="K962" s="2">
        <f t="shared" si="156"/>
        <v>28204</v>
      </c>
    </row>
    <row r="963" spans="1:12" ht="20.100000000000001" customHeight="1">
      <c r="A963" s="1"/>
      <c r="B963" s="509" t="s">
        <v>772</v>
      </c>
      <c r="C963" s="2">
        <f>C257+C327+C397+C451+C505+C855</f>
        <v>3375398</v>
      </c>
      <c r="D963" s="2">
        <f t="shared" ref="D963:K963" si="157">D257+D327+D397+D451+D505+D855</f>
        <v>3922892</v>
      </c>
      <c r="E963" s="2">
        <f t="shared" si="157"/>
        <v>3776313</v>
      </c>
      <c r="F963" s="2">
        <f t="shared" si="157"/>
        <v>3740779</v>
      </c>
      <c r="G963" s="2">
        <f t="shared" si="157"/>
        <v>3978696</v>
      </c>
      <c r="H963" s="2">
        <f t="shared" si="157"/>
        <v>4230855</v>
      </c>
      <c r="I963" s="2">
        <f t="shared" si="157"/>
        <v>4229049</v>
      </c>
      <c r="J963" s="2">
        <f t="shared" si="157"/>
        <v>4432817</v>
      </c>
      <c r="K963" s="2">
        <f t="shared" si="157"/>
        <v>4742577</v>
      </c>
    </row>
    <row r="964" spans="1:12" ht="20.100000000000001" customHeight="1">
      <c r="A964" s="1"/>
      <c r="B964" s="509" t="s">
        <v>850</v>
      </c>
      <c r="C964" s="2">
        <f t="shared" ref="C964:K964" si="158">C30+C258+C506+C398+C857+C904</f>
        <v>1583790</v>
      </c>
      <c r="D964" s="2">
        <f t="shared" si="158"/>
        <v>5073840</v>
      </c>
      <c r="E964" s="2">
        <f t="shared" si="158"/>
        <v>2637791</v>
      </c>
      <c r="F964" s="2">
        <f t="shared" si="158"/>
        <v>5014805</v>
      </c>
      <c r="G964" s="2">
        <f t="shared" si="158"/>
        <v>2518531</v>
      </c>
      <c r="H964" s="2">
        <f t="shared" si="158"/>
        <v>2948790</v>
      </c>
      <c r="I964" s="2">
        <f t="shared" si="158"/>
        <v>3026491</v>
      </c>
      <c r="J964" s="2">
        <f t="shared" si="158"/>
        <v>3098970</v>
      </c>
      <c r="K964" s="2">
        <f t="shared" si="158"/>
        <v>3166478</v>
      </c>
    </row>
    <row r="965" spans="1:12" ht="20.100000000000001" customHeight="1" thickBot="1">
      <c r="A965" s="1"/>
      <c r="B965" s="153" t="s">
        <v>851</v>
      </c>
      <c r="C965" s="150">
        <f>SUM(C956:C964)</f>
        <v>16813600</v>
      </c>
      <c r="D965" s="150">
        <f t="shared" ref="D965:J965" si="159">SUM(D956:D964)</f>
        <v>25320606</v>
      </c>
      <c r="E965" s="150">
        <f t="shared" si="159"/>
        <v>24627851</v>
      </c>
      <c r="F965" s="150">
        <f t="shared" si="159"/>
        <v>27426149</v>
      </c>
      <c r="G965" s="150">
        <f t="shared" si="159"/>
        <v>33750755</v>
      </c>
      <c r="H965" s="150">
        <f t="shared" si="159"/>
        <v>24322317</v>
      </c>
      <c r="I965" s="150">
        <f t="shared" si="159"/>
        <v>25045360</v>
      </c>
      <c r="J965" s="150">
        <f t="shared" si="159"/>
        <v>25226069</v>
      </c>
      <c r="K965" s="150">
        <f>SUM(K956:K964)</f>
        <v>25636864</v>
      </c>
    </row>
    <row r="966" spans="1:12" s="569" customFormat="1" hidden="1">
      <c r="A966" s="179"/>
      <c r="B966" s="155"/>
      <c r="C966" s="132">
        <f>'Budget Detail FY 2013-20'!L276+'Budget Detail FY 2013-20'!L295+'Budget Detail FY 2013-20'!L312+'Budget Detail FY 2013-20'!L351+'Budget Detail FY 2013-20'!L367+'Budget Detail FY 2013-20'!L438+'Budget Detail FY 2013-20'!L481+'Budget Detail FY 2013-20'!L493+'Budget Detail FY 2013-20'!L551+'Budget Detail FY 2013-20'!L655+'Budget Detail FY 2013-20'!L742+'Budget Detail FY 2013-20'!L781+'Budget Detail FY 2013-20'!L1059+'Budget Detail FY 2013-20'!L1084</f>
        <v>16813600</v>
      </c>
      <c r="D966" s="132">
        <f>'Budget Detail FY 2013-20'!M276+'Budget Detail FY 2013-20'!M295+'Budget Detail FY 2013-20'!M312+'Budget Detail FY 2013-20'!M351+'Budget Detail FY 2013-20'!M367+'Budget Detail FY 2013-20'!M438+'Budget Detail FY 2013-20'!M481+'Budget Detail FY 2013-20'!M493+'Budget Detail FY 2013-20'!M551+'Budget Detail FY 2013-20'!M655+'Budget Detail FY 2013-20'!M742+'Budget Detail FY 2013-20'!M781+'Budget Detail FY 2013-20'!M1059+'Budget Detail FY 2013-20'!M1084</f>
        <v>25320606</v>
      </c>
      <c r="E966" s="132">
        <f>'Budget Detail FY 2013-20'!N276+'Budget Detail FY 2013-20'!N295+'Budget Detail FY 2013-20'!N312+'Budget Detail FY 2013-20'!N351+'Budget Detail FY 2013-20'!N367+'Budget Detail FY 2013-20'!N438+'Budget Detail FY 2013-20'!N481+'Budget Detail FY 2013-20'!N493+'Budget Detail FY 2013-20'!N551+'Budget Detail FY 2013-20'!N655+'Budget Detail FY 2013-20'!N742+'Budget Detail FY 2013-20'!N781+'Budget Detail FY 2013-20'!N1059+'Budget Detail FY 2013-20'!N1084</f>
        <v>24627851</v>
      </c>
      <c r="F966" s="132">
        <f>'Budget Detail FY 2013-20'!O276+'Budget Detail FY 2013-20'!O295+'Budget Detail FY 2013-20'!O312+'Budget Detail FY 2013-20'!O351+'Budget Detail FY 2013-20'!O367+'Budget Detail FY 2013-20'!O438+'Budget Detail FY 2013-20'!O481+'Budget Detail FY 2013-20'!O493+'Budget Detail FY 2013-20'!O551+'Budget Detail FY 2013-20'!O655+'Budget Detail FY 2013-20'!O742+'Budget Detail FY 2013-20'!O781+'Budget Detail FY 2013-20'!O1059+'Budget Detail FY 2013-20'!O1084</f>
        <v>27426149</v>
      </c>
      <c r="G966" s="132">
        <f>'Budget Detail FY 2013-20'!P276+'Budget Detail FY 2013-20'!P295+'Budget Detail FY 2013-20'!P312+'Budget Detail FY 2013-20'!P351+'Budget Detail FY 2013-20'!P367+'Budget Detail FY 2013-20'!P438+'Budget Detail FY 2013-20'!P481+'Budget Detail FY 2013-20'!P493+'Budget Detail FY 2013-20'!P551+'Budget Detail FY 2013-20'!P655+'Budget Detail FY 2013-20'!P742+'Budget Detail FY 2013-20'!P781+'Budget Detail FY 2013-20'!P1059+'Budget Detail FY 2013-20'!P1084</f>
        <v>33750755</v>
      </c>
      <c r="H966" s="132">
        <f>'Budget Detail FY 2013-20'!Q276+'Budget Detail FY 2013-20'!Q295+'Budget Detail FY 2013-20'!Q312+'Budget Detail FY 2013-20'!Q351+'Budget Detail FY 2013-20'!Q367+'Budget Detail FY 2013-20'!Q438+'Budget Detail FY 2013-20'!Q481+'Budget Detail FY 2013-20'!Q493+'Budget Detail FY 2013-20'!Q551+'Budget Detail FY 2013-20'!Q655+'Budget Detail FY 2013-20'!Q742+'Budget Detail FY 2013-20'!Q781+'Budget Detail FY 2013-20'!Q1059+'Budget Detail FY 2013-20'!Q1084</f>
        <v>24322317</v>
      </c>
      <c r="I966" s="132">
        <f>'Budget Detail FY 2013-20'!R276+'Budget Detail FY 2013-20'!R295+'Budget Detail FY 2013-20'!R312+'Budget Detail FY 2013-20'!R351+'Budget Detail FY 2013-20'!R367+'Budget Detail FY 2013-20'!R438+'Budget Detail FY 2013-20'!R481+'Budget Detail FY 2013-20'!R493+'Budget Detail FY 2013-20'!R551+'Budget Detail FY 2013-20'!R655+'Budget Detail FY 2013-20'!R742+'Budget Detail FY 2013-20'!R781+'Budget Detail FY 2013-20'!R1059+'Budget Detail FY 2013-20'!R1084</f>
        <v>25045360</v>
      </c>
      <c r="J966" s="132">
        <f>'Budget Detail FY 2013-20'!S276+'Budget Detail FY 2013-20'!S295+'Budget Detail FY 2013-20'!S312+'Budget Detail FY 2013-20'!S351+'Budget Detail FY 2013-20'!S367+'Budget Detail FY 2013-20'!S438+'Budget Detail FY 2013-20'!S481+'Budget Detail FY 2013-20'!S493+'Budget Detail FY 2013-20'!S551+'Budget Detail FY 2013-20'!S655+'Budget Detail FY 2013-20'!S742+'Budget Detail FY 2013-20'!S781+'Budget Detail FY 2013-20'!S1059+'Budget Detail FY 2013-20'!S1084</f>
        <v>25226069</v>
      </c>
      <c r="K966" s="132">
        <f>'Budget Detail FY 2013-20'!T276+'Budget Detail FY 2013-20'!T295+'Budget Detail FY 2013-20'!T312+'Budget Detail FY 2013-20'!T351+'Budget Detail FY 2013-20'!T367+'Budget Detail FY 2013-20'!T438+'Budget Detail FY 2013-20'!T481+'Budget Detail FY 2013-20'!T493+'Budget Detail FY 2013-20'!T551+'Budget Detail FY 2013-20'!T655+'Budget Detail FY 2013-20'!T742+'Budget Detail FY 2013-20'!T781+'Budget Detail FY 2013-20'!T1059+'Budget Detail FY 2013-20'!T1084</f>
        <v>25636864</v>
      </c>
      <c r="L966" s="571" t="s">
        <v>1150</v>
      </c>
    </row>
    <row r="967" spans="1:12" s="570" customFormat="1" hidden="1">
      <c r="A967" s="180"/>
      <c r="B967" s="157"/>
      <c r="C967" s="133">
        <f>C965-C966</f>
        <v>0</v>
      </c>
      <c r="D967" s="133">
        <f t="shared" ref="D967:K967" si="160">D965-D966</f>
        <v>0</v>
      </c>
      <c r="E967" s="133">
        <f t="shared" si="160"/>
        <v>0</v>
      </c>
      <c r="F967" s="133">
        <f t="shared" si="160"/>
        <v>0</v>
      </c>
      <c r="G967" s="133">
        <f t="shared" si="160"/>
        <v>0</v>
      </c>
      <c r="H967" s="133">
        <f t="shared" si="160"/>
        <v>0</v>
      </c>
      <c r="I967" s="133">
        <f t="shared" si="160"/>
        <v>0</v>
      </c>
      <c r="J967" s="133">
        <f t="shared" si="160"/>
        <v>0</v>
      </c>
      <c r="K967" s="133">
        <f t="shared" si="160"/>
        <v>0</v>
      </c>
      <c r="L967" s="571" t="s">
        <v>1151</v>
      </c>
    </row>
    <row r="968" spans="1:12" ht="7.5" customHeight="1">
      <c r="A968" s="1"/>
      <c r="B968" s="160"/>
      <c r="C968" s="3"/>
      <c r="D968" s="2"/>
      <c r="E968" s="2"/>
      <c r="F968" s="2"/>
      <c r="G968" s="2"/>
      <c r="H968" s="2"/>
      <c r="I968" s="2"/>
      <c r="J968" s="2"/>
      <c r="K968" s="2"/>
    </row>
    <row r="969" spans="1:12" ht="20.100000000000001" customHeight="1">
      <c r="A969" s="1"/>
      <c r="B969" s="510" t="s">
        <v>852</v>
      </c>
      <c r="C969" s="3">
        <f>+C951-C965</f>
        <v>3486510</v>
      </c>
      <c r="D969" s="3">
        <f t="shared" ref="D969:K969" si="161">+D951-D965</f>
        <v>-1921533</v>
      </c>
      <c r="E969" s="3">
        <f t="shared" si="161"/>
        <v>2164696</v>
      </c>
      <c r="F969" s="3">
        <f t="shared" si="161"/>
        <v>2472449</v>
      </c>
      <c r="G969" s="3">
        <f t="shared" si="161"/>
        <v>-5725749</v>
      </c>
      <c r="H969" s="3">
        <f t="shared" si="161"/>
        <v>-856111</v>
      </c>
      <c r="I969" s="3">
        <f t="shared" si="161"/>
        <v>-2156658</v>
      </c>
      <c r="J969" s="3">
        <f t="shared" si="161"/>
        <v>-2183552</v>
      </c>
      <c r="K969" s="3">
        <f t="shared" si="161"/>
        <v>-2320963</v>
      </c>
    </row>
    <row r="970" spans="1:12" s="569" customFormat="1" hidden="1">
      <c r="A970" s="179"/>
      <c r="B970" s="161"/>
      <c r="C970" s="132">
        <f>'Budget Detail FY 2013-20'!L278+'Budget Detail FY 2013-20'!L297+'Budget Detail FY 2013-20'!L314+'Budget Detail FY 2013-20'!L353+'Budget Detail FY 2013-20'!L369+'Budget Detail FY 2013-20'!L440+('Budget Detail FY 2013-20'!L473-'Budget Detail FY 2013-20'!L455-'Budget Detail FY 2013-20'!L462-'Budget Detail FY 2013-20'!L465-'Budget Detail FY 2013-20'!L466-'Budget Detail FY 2013-20'!L481-'Budget Detail FY 2013-20'!L493)+'Budget Detail FY 2013-20'!L553+'Budget Detail FY 2013-20'!L657+'Budget Detail FY 2013-20'!L744+'Budget Detail FY 2013-20'!L783+'Budget Detail FY 2013-20'!L1061+'Budget Detail FY 2013-20'!L1086</f>
        <v>3486510</v>
      </c>
      <c r="D970" s="132">
        <f>'Budget Detail FY 2013-20'!M278+'Budget Detail FY 2013-20'!M297+'Budget Detail FY 2013-20'!M314+'Budget Detail FY 2013-20'!M353+'Budget Detail FY 2013-20'!M369+'Budget Detail FY 2013-20'!M440+('Budget Detail FY 2013-20'!M473-'Budget Detail FY 2013-20'!M455-'Budget Detail FY 2013-20'!M462-'Budget Detail FY 2013-20'!M465-'Budget Detail FY 2013-20'!M466-'Budget Detail FY 2013-20'!M481-'Budget Detail FY 2013-20'!M493)+'Budget Detail FY 2013-20'!M553+'Budget Detail FY 2013-20'!M657+'Budget Detail FY 2013-20'!M744+'Budget Detail FY 2013-20'!M783+'Budget Detail FY 2013-20'!M1061+'Budget Detail FY 2013-20'!M1086</f>
        <v>-1921533</v>
      </c>
      <c r="E970" s="132">
        <f>'Budget Detail FY 2013-20'!N278+'Budget Detail FY 2013-20'!N297+'Budget Detail FY 2013-20'!N314+'Budget Detail FY 2013-20'!N353+'Budget Detail FY 2013-20'!N369+'Budget Detail FY 2013-20'!N440+('Budget Detail FY 2013-20'!N473-'Budget Detail FY 2013-20'!N455-'Budget Detail FY 2013-20'!N462-'Budget Detail FY 2013-20'!N465-'Budget Detail FY 2013-20'!N466-'Budget Detail FY 2013-20'!N481-'Budget Detail FY 2013-20'!N493)+'Budget Detail FY 2013-20'!N553+'Budget Detail FY 2013-20'!N657+'Budget Detail FY 2013-20'!N744+'Budget Detail FY 2013-20'!N783+'Budget Detail FY 2013-20'!N1061+'Budget Detail FY 2013-20'!N1086</f>
        <v>2164696</v>
      </c>
      <c r="F970" s="132">
        <f>'Budget Detail FY 2013-20'!O278+'Budget Detail FY 2013-20'!O297+'Budget Detail FY 2013-20'!O314+'Budget Detail FY 2013-20'!O353+'Budget Detail FY 2013-20'!O369+'Budget Detail FY 2013-20'!O440+('Budget Detail FY 2013-20'!O473-'Budget Detail FY 2013-20'!O455-'Budget Detail FY 2013-20'!O462-'Budget Detail FY 2013-20'!O465-'Budget Detail FY 2013-20'!O466-'Budget Detail FY 2013-20'!O481-'Budget Detail FY 2013-20'!O493)+'Budget Detail FY 2013-20'!O553+'Budget Detail FY 2013-20'!O657+'Budget Detail FY 2013-20'!O744+'Budget Detail FY 2013-20'!O783+'Budget Detail FY 2013-20'!O1061+'Budget Detail FY 2013-20'!O1086</f>
        <v>2472449</v>
      </c>
      <c r="G970" s="132">
        <f>'Budget Detail FY 2013-20'!P278+'Budget Detail FY 2013-20'!P297+'Budget Detail FY 2013-20'!P314+'Budget Detail FY 2013-20'!P353+'Budget Detail FY 2013-20'!P369+'Budget Detail FY 2013-20'!P440+('Budget Detail FY 2013-20'!P473-'Budget Detail FY 2013-20'!P455-'Budget Detail FY 2013-20'!P462-'Budget Detail FY 2013-20'!P465-'Budget Detail FY 2013-20'!P466-'Budget Detail FY 2013-20'!P481-'Budget Detail FY 2013-20'!P493)+'Budget Detail FY 2013-20'!P553+'Budget Detail FY 2013-20'!P657+'Budget Detail FY 2013-20'!P744+'Budget Detail FY 2013-20'!P783+'Budget Detail FY 2013-20'!P1061+'Budget Detail FY 2013-20'!P1086</f>
        <v>-5725749</v>
      </c>
      <c r="H970" s="132">
        <f>'Budget Detail FY 2013-20'!Q278+'Budget Detail FY 2013-20'!Q297+'Budget Detail FY 2013-20'!Q314+'Budget Detail FY 2013-20'!Q353+'Budget Detail FY 2013-20'!Q369+'Budget Detail FY 2013-20'!Q440+('Budget Detail FY 2013-20'!Q473-'Budget Detail FY 2013-20'!Q455-'Budget Detail FY 2013-20'!Q462-'Budget Detail FY 2013-20'!Q465-'Budget Detail FY 2013-20'!Q466-'Budget Detail FY 2013-20'!Q481-'Budget Detail FY 2013-20'!Q493)+'Budget Detail FY 2013-20'!Q553+'Budget Detail FY 2013-20'!Q657+'Budget Detail FY 2013-20'!Q744+'Budget Detail FY 2013-20'!Q783+'Budget Detail FY 2013-20'!Q1061+'Budget Detail FY 2013-20'!Q1086</f>
        <v>-856111</v>
      </c>
      <c r="I970" s="132">
        <f>'Budget Detail FY 2013-20'!R278+'Budget Detail FY 2013-20'!R297+'Budget Detail FY 2013-20'!R314+'Budget Detail FY 2013-20'!R353+'Budget Detail FY 2013-20'!R369+'Budget Detail FY 2013-20'!R440+('Budget Detail FY 2013-20'!R473-'Budget Detail FY 2013-20'!R455-'Budget Detail FY 2013-20'!R462-'Budget Detail FY 2013-20'!R465-'Budget Detail FY 2013-20'!R466-'Budget Detail FY 2013-20'!R481-'Budget Detail FY 2013-20'!R493)+'Budget Detail FY 2013-20'!R553+'Budget Detail FY 2013-20'!R657+'Budget Detail FY 2013-20'!R744+'Budget Detail FY 2013-20'!R783+'Budget Detail FY 2013-20'!R1061+'Budget Detail FY 2013-20'!R1086</f>
        <v>-2156658</v>
      </c>
      <c r="J970" s="132">
        <f>'Budget Detail FY 2013-20'!S278+'Budget Detail FY 2013-20'!S297+'Budget Detail FY 2013-20'!S314+'Budget Detail FY 2013-20'!S353+'Budget Detail FY 2013-20'!S369+'Budget Detail FY 2013-20'!S440+('Budget Detail FY 2013-20'!S473-'Budget Detail FY 2013-20'!S455-'Budget Detail FY 2013-20'!S462-'Budget Detail FY 2013-20'!S465-'Budget Detail FY 2013-20'!S466-'Budget Detail FY 2013-20'!S481-'Budget Detail FY 2013-20'!S493)+'Budget Detail FY 2013-20'!S553+'Budget Detail FY 2013-20'!S657+'Budget Detail FY 2013-20'!S744+'Budget Detail FY 2013-20'!S783+'Budget Detail FY 2013-20'!S1061+'Budget Detail FY 2013-20'!S1086</f>
        <v>-2183552</v>
      </c>
      <c r="K970" s="132">
        <f>'Budget Detail FY 2013-20'!T278+'Budget Detail FY 2013-20'!T297+'Budget Detail FY 2013-20'!T314+'Budget Detail FY 2013-20'!T353+'Budget Detail FY 2013-20'!T369+'Budget Detail FY 2013-20'!T440+('Budget Detail FY 2013-20'!T473-'Budget Detail FY 2013-20'!T455-'Budget Detail FY 2013-20'!T462-'Budget Detail FY 2013-20'!T465-'Budget Detail FY 2013-20'!T466-'Budget Detail FY 2013-20'!T481-'Budget Detail FY 2013-20'!T493)+'Budget Detail FY 2013-20'!T553+'Budget Detail FY 2013-20'!T657+'Budget Detail FY 2013-20'!T744+'Budget Detail FY 2013-20'!T783+'Budget Detail FY 2013-20'!T1061+'Budget Detail FY 2013-20'!T1086</f>
        <v>-2320963</v>
      </c>
      <c r="L970" s="571" t="s">
        <v>1150</v>
      </c>
    </row>
    <row r="971" spans="1:12" s="570" customFormat="1" hidden="1">
      <c r="A971" s="180"/>
      <c r="B971" s="162"/>
      <c r="C971" s="163">
        <f>C969-C970</f>
        <v>0</v>
      </c>
      <c r="D971" s="163">
        <f t="shared" ref="D971:K971" si="162">D969-D970</f>
        <v>0</v>
      </c>
      <c r="E971" s="163">
        <f t="shared" si="162"/>
        <v>0</v>
      </c>
      <c r="F971" s="163">
        <f t="shared" si="162"/>
        <v>0</v>
      </c>
      <c r="G971" s="163">
        <f t="shared" si="162"/>
        <v>0</v>
      </c>
      <c r="H971" s="163">
        <f t="shared" si="162"/>
        <v>0</v>
      </c>
      <c r="I971" s="163">
        <f t="shared" si="162"/>
        <v>0</v>
      </c>
      <c r="J971" s="163">
        <f t="shared" si="162"/>
        <v>0</v>
      </c>
      <c r="K971" s="163">
        <f t="shared" si="162"/>
        <v>0</v>
      </c>
      <c r="L971" s="571" t="s">
        <v>1151</v>
      </c>
    </row>
    <row r="972" spans="1:12" ht="7.5" customHeight="1">
      <c r="A972" s="1"/>
      <c r="B972" s="164"/>
      <c r="C972" s="3"/>
      <c r="D972" s="2"/>
      <c r="E972" s="2"/>
      <c r="F972" s="2"/>
      <c r="G972" s="2"/>
      <c r="H972" s="2"/>
      <c r="I972" s="2"/>
      <c r="J972" s="2"/>
      <c r="K972" s="2"/>
    </row>
    <row r="973" spans="1:12" ht="20.100000000000001" customHeight="1" thickBot="1">
      <c r="A973" s="1"/>
      <c r="B973" s="152" t="s">
        <v>853</v>
      </c>
      <c r="C973" s="83">
        <v>11738136</v>
      </c>
      <c r="D973" s="83">
        <v>9815811</v>
      </c>
      <c r="E973" s="83">
        <v>11597666</v>
      </c>
      <c r="F973" s="83">
        <f>D973+F969</f>
        <v>12288260</v>
      </c>
      <c r="G973" s="83">
        <f>F973+G969</f>
        <v>6562511</v>
      </c>
      <c r="H973" s="83">
        <f>G973+H969</f>
        <v>5706400</v>
      </c>
      <c r="I973" s="83">
        <f>H973+I969</f>
        <v>3549742</v>
      </c>
      <c r="J973" s="83">
        <f>I973+J969</f>
        <v>1366190</v>
      </c>
      <c r="K973" s="83">
        <f>J973+K969</f>
        <v>-954773</v>
      </c>
    </row>
    <row r="974" spans="1:12" s="569" customFormat="1" ht="15.75" hidden="1" thickTop="1">
      <c r="A974" s="179"/>
      <c r="B974" s="155"/>
      <c r="C974" s="132">
        <f>'Budget Detail FY 2013-20'!L280+'Budget Detail FY 2013-20'!L299+'Budget Detail FY 2013-20'!L316+'Budget Detail FY 2013-20'!L355+'Budget Detail FY 2013-20'!L371+'Budget Detail FY 2013-20'!L446+'Budget Detail FY 2013-20'!L513+'Budget Detail FY 2013-20'!L515+'Budget Detail FY 2013-20'!L555+'Budget Detail FY 2013-20'!L659+'Budget Detail FY 2013-20'!L746+'Budget Detail FY 2013-20'!L785+'Budget Detail FY 2013-20'!L1063+'Budget Detail FY 2013-20'!L1088</f>
        <v>11738136</v>
      </c>
      <c r="D974" s="132">
        <f>'Budget Detail FY 2013-20'!M280+'Budget Detail FY 2013-20'!M299+'Budget Detail FY 2013-20'!M316+'Budget Detail FY 2013-20'!M355+'Budget Detail FY 2013-20'!M371+'Budget Detail FY 2013-20'!M446+'Budget Detail FY 2013-20'!M513+'Budget Detail FY 2013-20'!M515+'Budget Detail FY 2013-20'!M555+'Budget Detail FY 2013-20'!M659+'Budget Detail FY 2013-20'!M746+'Budget Detail FY 2013-20'!M785+'Budget Detail FY 2013-20'!M1063+'Budget Detail FY 2013-20'!M1088</f>
        <v>9815811</v>
      </c>
      <c r="E974" s="132">
        <f>'Budget Detail FY 2013-20'!N280+'Budget Detail FY 2013-20'!N299+'Budget Detail FY 2013-20'!N316+'Budget Detail FY 2013-20'!N355+'Budget Detail FY 2013-20'!N371+'Budget Detail FY 2013-20'!N446+'Budget Detail FY 2013-20'!N513+'Budget Detail FY 2013-20'!N515+'Budget Detail FY 2013-20'!N555+'Budget Detail FY 2013-20'!N659+'Budget Detail FY 2013-20'!N746+'Budget Detail FY 2013-20'!N785+'Budget Detail FY 2013-20'!N1063+'Budget Detail FY 2013-20'!N1088</f>
        <v>11597666</v>
      </c>
      <c r="F974" s="132">
        <f>'Budget Detail FY 2013-20'!O280+'Budget Detail FY 2013-20'!O299+'Budget Detail FY 2013-20'!O316+'Budget Detail FY 2013-20'!O355+'Budget Detail FY 2013-20'!O371+'Budget Detail FY 2013-20'!O446+'Budget Detail FY 2013-20'!O513+'Budget Detail FY 2013-20'!O515+'Budget Detail FY 2013-20'!O555+'Budget Detail FY 2013-20'!O659+'Budget Detail FY 2013-20'!O746+'Budget Detail FY 2013-20'!O785+'Budget Detail FY 2013-20'!O1063+'Budget Detail FY 2013-20'!O1088</f>
        <v>12288260</v>
      </c>
      <c r="G974" s="132">
        <f>'Budget Detail FY 2013-20'!P280+'Budget Detail FY 2013-20'!P299+'Budget Detail FY 2013-20'!P316+'Budget Detail FY 2013-20'!P355+'Budget Detail FY 2013-20'!P371+'Budget Detail FY 2013-20'!P446+'Budget Detail FY 2013-20'!P513+'Budget Detail FY 2013-20'!P515+'Budget Detail FY 2013-20'!P555+'Budget Detail FY 2013-20'!P659+'Budget Detail FY 2013-20'!P746+'Budget Detail FY 2013-20'!P785+'Budget Detail FY 2013-20'!P1063+'Budget Detail FY 2013-20'!P1088</f>
        <v>6562511</v>
      </c>
      <c r="H974" s="132">
        <f>'Budget Detail FY 2013-20'!Q280+'Budget Detail FY 2013-20'!Q299+'Budget Detail FY 2013-20'!Q316+'Budget Detail FY 2013-20'!Q355+'Budget Detail FY 2013-20'!Q371+'Budget Detail FY 2013-20'!Q446+'Budget Detail FY 2013-20'!Q513+'Budget Detail FY 2013-20'!Q515+'Budget Detail FY 2013-20'!Q555+'Budget Detail FY 2013-20'!Q659+'Budget Detail FY 2013-20'!Q746+'Budget Detail FY 2013-20'!Q785+'Budget Detail FY 2013-20'!Q1063+'Budget Detail FY 2013-20'!Q1088</f>
        <v>5706400</v>
      </c>
      <c r="I974" s="132">
        <f>'Budget Detail FY 2013-20'!R280+'Budget Detail FY 2013-20'!R299+'Budget Detail FY 2013-20'!R316+'Budget Detail FY 2013-20'!R355+'Budget Detail FY 2013-20'!R371+'Budget Detail FY 2013-20'!R446+'Budget Detail FY 2013-20'!R513+'Budget Detail FY 2013-20'!R515+'Budget Detail FY 2013-20'!R555+'Budget Detail FY 2013-20'!R659+'Budget Detail FY 2013-20'!R746+'Budget Detail FY 2013-20'!R785+'Budget Detail FY 2013-20'!R1063+'Budget Detail FY 2013-20'!R1088</f>
        <v>3549742</v>
      </c>
      <c r="J974" s="132">
        <f>'Budget Detail FY 2013-20'!S280+'Budget Detail FY 2013-20'!S299+'Budget Detail FY 2013-20'!S316+'Budget Detail FY 2013-20'!S355+'Budget Detail FY 2013-20'!S371+'Budget Detail FY 2013-20'!S446+'Budget Detail FY 2013-20'!S513+'Budget Detail FY 2013-20'!S515+'Budget Detail FY 2013-20'!S555+'Budget Detail FY 2013-20'!S659+'Budget Detail FY 2013-20'!S746+'Budget Detail FY 2013-20'!S785+'Budget Detail FY 2013-20'!S1063+'Budget Detail FY 2013-20'!S1088</f>
        <v>1366190</v>
      </c>
      <c r="K974" s="132">
        <f>'Budget Detail FY 2013-20'!T280+'Budget Detail FY 2013-20'!T299+'Budget Detail FY 2013-20'!T316+'Budget Detail FY 2013-20'!T355+'Budget Detail FY 2013-20'!T371+'Budget Detail FY 2013-20'!T446+'Budget Detail FY 2013-20'!T513+'Budget Detail FY 2013-20'!T515+'Budget Detail FY 2013-20'!T555+'Budget Detail FY 2013-20'!T659+'Budget Detail FY 2013-20'!T746+'Budget Detail FY 2013-20'!T785+'Budget Detail FY 2013-20'!T1063+'Budget Detail FY 2013-20'!T1088</f>
        <v>-954773</v>
      </c>
      <c r="L974" s="571" t="s">
        <v>1150</v>
      </c>
    </row>
    <row r="975" spans="1:12" s="570" customFormat="1" hidden="1">
      <c r="A975" s="180"/>
      <c r="B975" s="157"/>
      <c r="C975" s="163">
        <f>C973-'Budget Detail FY 2013-20'!L1126</f>
        <v>0</v>
      </c>
      <c r="D975" s="163">
        <f>D973-'Budget Detail FY 2013-20'!M1126</f>
        <v>0</v>
      </c>
      <c r="E975" s="163">
        <f>E973-'Budget Detail FY 2013-20'!N1126</f>
        <v>0</v>
      </c>
      <c r="F975" s="163">
        <f>F973-'Budget Detail FY 2013-20'!O1126</f>
        <v>0</v>
      </c>
      <c r="G975" s="163">
        <f>G973-'Budget Detail FY 2013-20'!P1126</f>
        <v>0</v>
      </c>
      <c r="H975" s="163">
        <f>H973-'Budget Detail FY 2013-20'!Q1126</f>
        <v>0</v>
      </c>
      <c r="I975" s="163">
        <f>I973-'Budget Detail FY 2013-20'!R1126</f>
        <v>0</v>
      </c>
      <c r="J975" s="163">
        <f>J973-'Budget Detail FY 2013-20'!S1126</f>
        <v>0</v>
      </c>
      <c r="K975" s="163">
        <f>K973-'Budget Detail FY 2013-20'!T1126</f>
        <v>0</v>
      </c>
      <c r="L975" s="571" t="s">
        <v>1236</v>
      </c>
    </row>
    <row r="976" spans="1:12" s="570" customFormat="1" hidden="1">
      <c r="A976" s="180"/>
      <c r="B976" s="157"/>
      <c r="C976" s="163">
        <f>C973-C974</f>
        <v>0</v>
      </c>
      <c r="D976" s="163">
        <f t="shared" ref="D976:K976" si="163">D973-D974</f>
        <v>0</v>
      </c>
      <c r="E976" s="163">
        <f t="shared" si="163"/>
        <v>0</v>
      </c>
      <c r="F976" s="163">
        <f t="shared" si="163"/>
        <v>0</v>
      </c>
      <c r="G976" s="163">
        <f t="shared" si="163"/>
        <v>0</v>
      </c>
      <c r="H976" s="163">
        <f t="shared" si="163"/>
        <v>0</v>
      </c>
      <c r="I976" s="163">
        <f t="shared" si="163"/>
        <v>0</v>
      </c>
      <c r="J976" s="163">
        <f t="shared" si="163"/>
        <v>0</v>
      </c>
      <c r="K976" s="163">
        <f t="shared" si="163"/>
        <v>0</v>
      </c>
      <c r="L976" s="571" t="s">
        <v>1151</v>
      </c>
    </row>
    <row r="977" spans="1:11" ht="15.75" thickTop="1">
      <c r="A977" s="1"/>
      <c r="B977" s="165"/>
      <c r="C977" s="166">
        <f t="shared" ref="C977:K977" si="164">+C973/C965</f>
        <v>0.6981334158062521</v>
      </c>
      <c r="D977" s="166">
        <f t="shared" si="164"/>
        <v>0.38766098252150838</v>
      </c>
      <c r="E977" s="166">
        <f t="shared" si="164"/>
        <v>0.47091668696550099</v>
      </c>
      <c r="F977" s="166">
        <f t="shared" si="164"/>
        <v>0.44804904983196875</v>
      </c>
      <c r="G977" s="166">
        <f t="shared" si="164"/>
        <v>0.19444042066614509</v>
      </c>
      <c r="H977" s="166">
        <f>+H973/H965</f>
        <v>0.23461580572278537</v>
      </c>
      <c r="I977" s="166">
        <f t="shared" si="164"/>
        <v>0.141732520514778</v>
      </c>
      <c r="J977" s="166">
        <f t="shared" si="164"/>
        <v>5.4157863438810065E-2</v>
      </c>
      <c r="K977" s="166">
        <f t="shared" si="164"/>
        <v>-3.7242191556658415E-2</v>
      </c>
    </row>
    <row r="978" spans="1:11">
      <c r="A978" s="1"/>
      <c r="B978" s="165"/>
      <c r="C978" s="166"/>
      <c r="D978" s="166"/>
      <c r="E978" s="166"/>
      <c r="F978" s="166"/>
      <c r="G978" s="166"/>
      <c r="H978" s="166"/>
      <c r="I978" s="166"/>
      <c r="J978" s="166"/>
      <c r="K978" s="166"/>
    </row>
    <row r="979" spans="1:11" ht="7.5" customHeight="1">
      <c r="A979" s="1"/>
      <c r="B979" s="165"/>
      <c r="C979" s="2"/>
      <c r="D979" s="2"/>
      <c r="E979" s="2"/>
      <c r="F979" s="2"/>
      <c r="G979" s="2"/>
      <c r="H979" s="2"/>
      <c r="I979" s="2"/>
      <c r="J979" s="2"/>
      <c r="K979" s="2"/>
    </row>
    <row r="980" spans="1:11">
      <c r="A980" s="1"/>
      <c r="B980" s="1"/>
      <c r="C980" s="2"/>
      <c r="D980" s="2"/>
      <c r="E980" s="2"/>
      <c r="F980" s="2"/>
      <c r="G980" s="2"/>
      <c r="H980" s="2"/>
      <c r="I980" s="2"/>
      <c r="J980" s="2"/>
      <c r="K980" s="2"/>
    </row>
    <row r="981" spans="1:11">
      <c r="A981" s="1"/>
      <c r="B981" s="1"/>
      <c r="C981" s="2"/>
      <c r="D981" s="2"/>
      <c r="E981" s="2"/>
      <c r="F981" s="2"/>
      <c r="G981" s="2"/>
      <c r="H981" s="2"/>
      <c r="I981" s="2"/>
      <c r="J981" s="2"/>
      <c r="K981" s="2"/>
    </row>
    <row r="982" spans="1:11">
      <c r="A982" s="1"/>
      <c r="B982" s="1"/>
      <c r="C982" s="2"/>
      <c r="D982" s="2"/>
      <c r="E982" s="2"/>
      <c r="F982" s="2"/>
      <c r="G982" s="2"/>
      <c r="H982" s="2"/>
      <c r="I982" s="2"/>
      <c r="J982" s="2"/>
      <c r="K982" s="2"/>
    </row>
    <row r="983" spans="1:11">
      <c r="A983" s="1"/>
      <c r="B983" s="1"/>
      <c r="C983" s="2"/>
      <c r="D983" s="2"/>
      <c r="E983" s="2"/>
      <c r="F983" s="2"/>
      <c r="G983" s="2"/>
      <c r="H983" s="2"/>
      <c r="I983" s="2"/>
      <c r="J983" s="2"/>
      <c r="K983" s="2"/>
    </row>
    <row r="984" spans="1:11">
      <c r="A984" s="1"/>
      <c r="B984" s="1"/>
      <c r="C984" s="2"/>
      <c r="D984" s="2"/>
      <c r="E984" s="2"/>
      <c r="F984" s="2"/>
      <c r="G984" s="2"/>
      <c r="H984" s="2"/>
      <c r="I984" s="2"/>
      <c r="J984" s="2"/>
      <c r="K984" s="2"/>
    </row>
    <row r="985" spans="1:11">
      <c r="A985" s="1"/>
      <c r="B985" s="1"/>
      <c r="C985" s="2"/>
      <c r="D985" s="2"/>
      <c r="E985" s="2"/>
      <c r="F985" s="2"/>
      <c r="G985" s="2"/>
      <c r="H985" s="2"/>
      <c r="I985" s="2"/>
      <c r="J985" s="2"/>
      <c r="K985" s="2"/>
    </row>
    <row r="986" spans="1:11">
      <c r="A986" s="1"/>
      <c r="B986" s="1"/>
      <c r="C986" s="2"/>
      <c r="D986" s="2"/>
      <c r="E986" s="2"/>
      <c r="F986" s="2"/>
      <c r="G986" s="2"/>
      <c r="H986" s="2"/>
      <c r="I986" s="2"/>
      <c r="J986" s="2"/>
      <c r="K986" s="2"/>
    </row>
    <row r="987" spans="1:11">
      <c r="A987" s="1"/>
      <c r="B987" s="1"/>
      <c r="C987" s="2"/>
      <c r="D987" s="2"/>
      <c r="E987" s="2"/>
      <c r="F987" s="2"/>
      <c r="G987" s="2"/>
      <c r="H987" s="2"/>
      <c r="I987" s="2"/>
      <c r="J987" s="2"/>
      <c r="K987" s="2"/>
    </row>
    <row r="988" spans="1:11">
      <c r="A988" s="1"/>
      <c r="B988" s="1"/>
      <c r="C988" s="2"/>
      <c r="D988" s="2"/>
      <c r="E988" s="2"/>
      <c r="F988" s="2"/>
      <c r="G988" s="2"/>
      <c r="H988" s="2"/>
      <c r="I988" s="2"/>
      <c r="J988" s="2"/>
      <c r="K988" s="2"/>
    </row>
    <row r="989" spans="1:11">
      <c r="A989" s="1"/>
      <c r="B989" s="1"/>
      <c r="C989" s="2"/>
      <c r="D989" s="2"/>
      <c r="E989" s="2"/>
      <c r="F989" s="2"/>
      <c r="G989" s="2"/>
      <c r="H989" s="2"/>
      <c r="I989" s="2"/>
      <c r="J989" s="2"/>
      <c r="K989" s="2"/>
    </row>
    <row r="993" spans="2:11">
      <c r="B993" s="740" t="s">
        <v>1130</v>
      </c>
      <c r="C993" s="740"/>
      <c r="D993" s="740"/>
      <c r="E993" s="740"/>
      <c r="F993" s="740"/>
      <c r="G993" s="740"/>
      <c r="H993" s="740"/>
      <c r="I993" s="740"/>
      <c r="J993" s="740"/>
      <c r="K993" s="740"/>
    </row>
    <row r="994" spans="2:11" ht="7.5" customHeight="1">
      <c r="B994" s="65"/>
      <c r="C994" s="3"/>
      <c r="D994" s="2"/>
      <c r="E994" s="2"/>
      <c r="F994" s="2"/>
      <c r="G994" s="2"/>
      <c r="H994" s="2"/>
      <c r="I994" s="2"/>
      <c r="J994" s="2"/>
      <c r="K994" s="2"/>
    </row>
    <row r="995" spans="2:11">
      <c r="B995" s="731" t="s">
        <v>1134</v>
      </c>
      <c r="C995" s="731"/>
      <c r="D995" s="731"/>
      <c r="E995" s="731"/>
      <c r="F995" s="731"/>
      <c r="G995" s="731"/>
      <c r="H995" s="731"/>
      <c r="I995" s="731"/>
      <c r="J995" s="731"/>
      <c r="K995" s="731"/>
    </row>
    <row r="996" spans="2:11">
      <c r="B996" s="731"/>
      <c r="C996" s="731"/>
      <c r="D996" s="731"/>
      <c r="E996" s="731"/>
      <c r="F996" s="731"/>
      <c r="G996" s="731"/>
      <c r="H996" s="731"/>
      <c r="I996" s="731"/>
      <c r="J996" s="731"/>
      <c r="K996" s="731"/>
    </row>
    <row r="997" spans="2:11">
      <c r="B997" s="731"/>
      <c r="C997" s="731"/>
      <c r="D997" s="731"/>
      <c r="E997" s="731"/>
      <c r="F997" s="731"/>
      <c r="G997" s="731"/>
      <c r="H997" s="731"/>
      <c r="I997" s="731"/>
      <c r="J997" s="731"/>
      <c r="K997" s="731"/>
    </row>
    <row r="998" spans="2:11" ht="7.5" customHeight="1">
      <c r="B998" s="563"/>
      <c r="C998" s="563"/>
      <c r="D998" s="563"/>
      <c r="E998" s="563"/>
      <c r="F998" s="563"/>
      <c r="G998" s="563"/>
      <c r="H998" s="563"/>
      <c r="I998" s="563"/>
      <c r="J998" s="563"/>
      <c r="K998" s="563"/>
    </row>
    <row r="999" spans="2:11">
      <c r="B999" s="5"/>
      <c r="C999" s="65"/>
      <c r="D999" s="66"/>
      <c r="E999" s="65" t="s">
        <v>270</v>
      </c>
      <c r="F999" s="1"/>
      <c r="G999" s="1"/>
      <c r="H999" s="1"/>
      <c r="I999" s="1"/>
      <c r="J999" s="1"/>
      <c r="K999" s="1"/>
    </row>
    <row r="1000" spans="2:11">
      <c r="B1000" s="66"/>
      <c r="C1000" s="65" t="s">
        <v>257</v>
      </c>
      <c r="D1000" s="49" t="s">
        <v>258</v>
      </c>
      <c r="E1000" s="66" t="s">
        <v>832</v>
      </c>
      <c r="F1000" s="66" t="s">
        <v>270</v>
      </c>
      <c r="G1000" s="66" t="s">
        <v>271</v>
      </c>
      <c r="H1000" s="66" t="s">
        <v>272</v>
      </c>
      <c r="I1000" s="66" t="s">
        <v>996</v>
      </c>
      <c r="J1000" s="66" t="s">
        <v>1101</v>
      </c>
      <c r="K1000" s="66" t="s">
        <v>1136</v>
      </c>
    </row>
    <row r="1001" spans="2:11" ht="15.75" thickBot="1">
      <c r="B1001" s="169"/>
      <c r="C1001" s="68" t="s">
        <v>1</v>
      </c>
      <c r="D1001" s="68" t="s">
        <v>1</v>
      </c>
      <c r="E1001" s="68" t="s">
        <v>787</v>
      </c>
      <c r="F1001" s="68" t="s">
        <v>19</v>
      </c>
      <c r="G1001" s="68" t="s">
        <v>832</v>
      </c>
      <c r="H1001" s="68" t="s">
        <v>19</v>
      </c>
      <c r="I1001" s="68" t="s">
        <v>19</v>
      </c>
      <c r="J1001" s="68" t="s">
        <v>19</v>
      </c>
      <c r="K1001" s="68" t="s">
        <v>19</v>
      </c>
    </row>
    <row r="1002" spans="2:11" ht="7.5" customHeight="1">
      <c r="B1002" s="64"/>
      <c r="C1002" s="170"/>
      <c r="D1002" s="2"/>
      <c r="E1002" s="2"/>
      <c r="F1002" s="2"/>
      <c r="G1002" s="2"/>
      <c r="H1002" s="2"/>
      <c r="I1002" s="2"/>
      <c r="J1002" s="2"/>
      <c r="K1002" s="2"/>
    </row>
    <row r="1003" spans="2:11">
      <c r="B1003" s="158" t="s">
        <v>833</v>
      </c>
      <c r="C1003" s="2"/>
      <c r="D1003" s="2"/>
      <c r="E1003" s="2"/>
      <c r="F1003" s="2"/>
      <c r="G1003" s="2"/>
      <c r="H1003" s="2"/>
      <c r="I1003" s="2"/>
      <c r="J1003" s="2"/>
      <c r="K1003" s="2"/>
    </row>
    <row r="1004" spans="2:11" ht="20.100000000000001" customHeight="1">
      <c r="B1004" s="506" t="s">
        <v>834</v>
      </c>
      <c r="C1004" s="2">
        <f t="shared" ref="C1004:K1004" si="165">C698+C754</f>
        <v>1483545</v>
      </c>
      <c r="D1004" s="2">
        <f t="shared" si="165"/>
        <v>1389302</v>
      </c>
      <c r="E1004" s="2">
        <f t="shared" si="165"/>
        <v>1377331</v>
      </c>
      <c r="F1004" s="2">
        <f t="shared" si="165"/>
        <v>1354712</v>
      </c>
      <c r="G1004" s="2">
        <f t="shared" si="165"/>
        <v>1384846</v>
      </c>
      <c r="H1004" s="2">
        <f t="shared" si="165"/>
        <v>1387771</v>
      </c>
      <c r="I1004" s="2">
        <f t="shared" si="165"/>
        <v>1400396</v>
      </c>
      <c r="J1004" s="2">
        <f t="shared" si="165"/>
        <v>1432101</v>
      </c>
      <c r="K1004" s="2">
        <f t="shared" si="165"/>
        <v>1442013</v>
      </c>
    </row>
    <row r="1005" spans="2:11" ht="20.100000000000001" customHeight="1">
      <c r="B1005" s="506" t="s">
        <v>835</v>
      </c>
      <c r="C1005" s="2">
        <f>C699</f>
        <v>24124</v>
      </c>
      <c r="D1005" s="2">
        <f t="shared" ref="D1005:K1005" si="166">D699</f>
        <v>22914</v>
      </c>
      <c r="E1005" s="2">
        <f t="shared" si="166"/>
        <v>22200</v>
      </c>
      <c r="F1005" s="2">
        <f t="shared" si="166"/>
        <v>26401</v>
      </c>
      <c r="G1005" s="2">
        <f t="shared" si="166"/>
        <v>22450</v>
      </c>
      <c r="H1005" s="2">
        <f t="shared" si="166"/>
        <v>22450</v>
      </c>
      <c r="I1005" s="2">
        <f t="shared" si="166"/>
        <v>22450</v>
      </c>
      <c r="J1005" s="2">
        <f t="shared" si="166"/>
        <v>22450</v>
      </c>
      <c r="K1005" s="2">
        <f t="shared" si="166"/>
        <v>22450</v>
      </c>
    </row>
    <row r="1006" spans="2:11" ht="20.100000000000001" customHeight="1">
      <c r="B1006" s="507" t="s">
        <v>836</v>
      </c>
      <c r="C1006" s="2">
        <f>C800</f>
        <v>35200</v>
      </c>
      <c r="D1006" s="2">
        <f t="shared" ref="D1006:K1006" si="167">D800</f>
        <v>53650</v>
      </c>
      <c r="E1006" s="2">
        <f t="shared" si="167"/>
        <v>20000</v>
      </c>
      <c r="F1006" s="2">
        <f t="shared" si="167"/>
        <v>20000</v>
      </c>
      <c r="G1006" s="2">
        <f t="shared" si="167"/>
        <v>20000</v>
      </c>
      <c r="H1006" s="2">
        <f t="shared" si="167"/>
        <v>20000</v>
      </c>
      <c r="I1006" s="2">
        <f t="shared" si="167"/>
        <v>20000</v>
      </c>
      <c r="J1006" s="2">
        <f t="shared" si="167"/>
        <v>20000</v>
      </c>
      <c r="K1006" s="2">
        <f t="shared" si="167"/>
        <v>20000</v>
      </c>
    </row>
    <row r="1007" spans="2:11" ht="20.100000000000001" customHeight="1">
      <c r="B1007" s="507" t="s">
        <v>837</v>
      </c>
      <c r="C1007" s="2">
        <f>C700</f>
        <v>9404</v>
      </c>
      <c r="D1007" s="2">
        <f t="shared" ref="D1007:K1007" si="168">D700</f>
        <v>9680</v>
      </c>
      <c r="E1007" s="2">
        <f t="shared" si="168"/>
        <v>9300</v>
      </c>
      <c r="F1007" s="2">
        <f t="shared" si="168"/>
        <v>9300</v>
      </c>
      <c r="G1007" s="2">
        <f t="shared" si="168"/>
        <v>9300</v>
      </c>
      <c r="H1007" s="2">
        <f t="shared" si="168"/>
        <v>9300</v>
      </c>
      <c r="I1007" s="2">
        <f t="shared" si="168"/>
        <v>9300</v>
      </c>
      <c r="J1007" s="2">
        <f t="shared" si="168"/>
        <v>9300</v>
      </c>
      <c r="K1007" s="2">
        <f t="shared" si="168"/>
        <v>9300</v>
      </c>
    </row>
    <row r="1008" spans="2:11" ht="20.100000000000001" customHeight="1">
      <c r="B1008" s="507" t="s">
        <v>838</v>
      </c>
      <c r="C1008" s="2">
        <f>C701</f>
        <v>14190</v>
      </c>
      <c r="D1008" s="2">
        <f t="shared" ref="D1008:K1008" si="169">D701</f>
        <v>10707</v>
      </c>
      <c r="E1008" s="2">
        <f t="shared" si="169"/>
        <v>14000</v>
      </c>
      <c r="F1008" s="2">
        <f t="shared" si="169"/>
        <v>11500</v>
      </c>
      <c r="G1008" s="2">
        <f t="shared" si="169"/>
        <v>11500</v>
      </c>
      <c r="H1008" s="2">
        <f t="shared" si="169"/>
        <v>11500</v>
      </c>
      <c r="I1008" s="2">
        <f t="shared" si="169"/>
        <v>11500</v>
      </c>
      <c r="J1008" s="2">
        <f t="shared" si="169"/>
        <v>11500</v>
      </c>
      <c r="K1008" s="2">
        <f t="shared" si="169"/>
        <v>11500</v>
      </c>
    </row>
    <row r="1009" spans="2:12" ht="20.100000000000001" customHeight="1">
      <c r="B1009" s="507" t="s">
        <v>839</v>
      </c>
      <c r="C1009" s="2">
        <f t="shared" ref="C1009:K1009" si="170">C702+C755+C801</f>
        <v>1465</v>
      </c>
      <c r="D1009" s="2">
        <f t="shared" si="170"/>
        <v>1400</v>
      </c>
      <c r="E1009" s="2">
        <f t="shared" si="170"/>
        <v>1350</v>
      </c>
      <c r="F1009" s="2">
        <f t="shared" si="170"/>
        <v>761</v>
      </c>
      <c r="G1009" s="2">
        <f t="shared" si="170"/>
        <v>1550</v>
      </c>
      <c r="H1009" s="2">
        <f t="shared" si="170"/>
        <v>410</v>
      </c>
      <c r="I1009" s="2">
        <f t="shared" si="170"/>
        <v>410</v>
      </c>
      <c r="J1009" s="2">
        <f t="shared" si="170"/>
        <v>410</v>
      </c>
      <c r="K1009" s="2">
        <f t="shared" si="170"/>
        <v>410</v>
      </c>
    </row>
    <row r="1010" spans="2:12" ht="20.100000000000001" customHeight="1">
      <c r="B1010" s="507" t="s">
        <v>840</v>
      </c>
      <c r="C1010" s="2">
        <f>C703</f>
        <v>9396</v>
      </c>
      <c r="D1010" s="2">
        <f t="shared" ref="D1010:K1010" si="171">D703</f>
        <v>0</v>
      </c>
      <c r="E1010" s="2">
        <f t="shared" si="171"/>
        <v>0</v>
      </c>
      <c r="F1010" s="2">
        <f t="shared" si="171"/>
        <v>0</v>
      </c>
      <c r="G1010" s="2">
        <f t="shared" si="171"/>
        <v>0</v>
      </c>
      <c r="H1010" s="2">
        <f t="shared" si="171"/>
        <v>0</v>
      </c>
      <c r="I1010" s="2">
        <f t="shared" si="171"/>
        <v>0</v>
      </c>
      <c r="J1010" s="2">
        <f t="shared" si="171"/>
        <v>0</v>
      </c>
      <c r="K1010" s="2">
        <f t="shared" si="171"/>
        <v>0</v>
      </c>
    </row>
    <row r="1011" spans="2:12" ht="20.100000000000001" customHeight="1">
      <c r="B1011" s="507" t="s">
        <v>841</v>
      </c>
      <c r="C1011" s="2">
        <f>C704</f>
        <v>12489</v>
      </c>
      <c r="D1011" s="2">
        <f t="shared" ref="D1011:K1011" si="172">D704</f>
        <v>7992</v>
      </c>
      <c r="E1011" s="2">
        <f t="shared" si="172"/>
        <v>7500</v>
      </c>
      <c r="F1011" s="2">
        <f t="shared" si="172"/>
        <v>7500</v>
      </c>
      <c r="G1011" s="2">
        <f t="shared" si="172"/>
        <v>7500</v>
      </c>
      <c r="H1011" s="2">
        <f t="shared" si="172"/>
        <v>7500</v>
      </c>
      <c r="I1011" s="2">
        <f t="shared" si="172"/>
        <v>7500</v>
      </c>
      <c r="J1011" s="2">
        <f t="shared" si="172"/>
        <v>7500</v>
      </c>
      <c r="K1011" s="2">
        <f t="shared" si="172"/>
        <v>7500</v>
      </c>
    </row>
    <row r="1012" spans="2:12" ht="20.100000000000001" customHeight="1">
      <c r="B1012" s="509" t="s">
        <v>842</v>
      </c>
      <c r="C1012" s="2">
        <f t="shared" ref="C1012:K1012" si="173">C705+C756</f>
        <v>32288</v>
      </c>
      <c r="D1012" s="2">
        <f t="shared" si="173"/>
        <v>67133</v>
      </c>
      <c r="E1012" s="2">
        <f t="shared" si="173"/>
        <v>32375</v>
      </c>
      <c r="F1012" s="2">
        <f t="shared" si="173"/>
        <v>35933</v>
      </c>
      <c r="G1012" s="2">
        <f t="shared" si="173"/>
        <v>34168</v>
      </c>
      <c r="H1012" s="2">
        <f t="shared" si="173"/>
        <v>35568</v>
      </c>
      <c r="I1012" s="2">
        <f t="shared" si="173"/>
        <v>37582</v>
      </c>
      <c r="J1012" s="2">
        <f t="shared" si="173"/>
        <v>39717</v>
      </c>
      <c r="K1012" s="2">
        <f t="shared" si="173"/>
        <v>41980</v>
      </c>
    </row>
    <row r="1013" spans="2:12" ht="20.100000000000001" customHeight="1" thickBot="1">
      <c r="B1013" s="153" t="s">
        <v>843</v>
      </c>
      <c r="C1013" s="150">
        <f t="shared" ref="C1013:K1013" si="174">SUM(C1004:C1012)</f>
        <v>1622101</v>
      </c>
      <c r="D1013" s="150">
        <f t="shared" si="174"/>
        <v>1562778</v>
      </c>
      <c r="E1013" s="150">
        <f t="shared" si="174"/>
        <v>1484056</v>
      </c>
      <c r="F1013" s="150">
        <f t="shared" si="174"/>
        <v>1466107</v>
      </c>
      <c r="G1013" s="150">
        <f t="shared" si="174"/>
        <v>1491314</v>
      </c>
      <c r="H1013" s="150">
        <f t="shared" si="174"/>
        <v>1494499</v>
      </c>
      <c r="I1013" s="150">
        <f t="shared" si="174"/>
        <v>1509138</v>
      </c>
      <c r="J1013" s="150">
        <f t="shared" si="174"/>
        <v>1542978</v>
      </c>
      <c r="K1013" s="150">
        <f t="shared" si="174"/>
        <v>1555153</v>
      </c>
    </row>
    <row r="1014" spans="2:12" s="569" customFormat="1" hidden="1">
      <c r="B1014" s="155"/>
      <c r="C1014" s="132">
        <f>'Budget Detail FY 2013-20'!L943+'Budget Detail FY 2013-20'!L996+'Budget Detail FY 2013-20'!L1019</f>
        <v>1622101</v>
      </c>
      <c r="D1014" s="132">
        <f>'Budget Detail FY 2013-20'!M943+'Budget Detail FY 2013-20'!M996+'Budget Detail FY 2013-20'!M1019</f>
        <v>1562778</v>
      </c>
      <c r="E1014" s="132">
        <f>'Budget Detail FY 2013-20'!N943+'Budget Detail FY 2013-20'!N996+'Budget Detail FY 2013-20'!N1019</f>
        <v>1484056</v>
      </c>
      <c r="F1014" s="132">
        <f>'Budget Detail FY 2013-20'!O943+'Budget Detail FY 2013-20'!O996+'Budget Detail FY 2013-20'!O1019</f>
        <v>1466107</v>
      </c>
      <c r="G1014" s="132">
        <f>'Budget Detail FY 2013-20'!P943+'Budget Detail FY 2013-20'!P996+'Budget Detail FY 2013-20'!P1019</f>
        <v>1491314</v>
      </c>
      <c r="H1014" s="132">
        <f>'Budget Detail FY 2013-20'!Q943+'Budget Detail FY 2013-20'!Q996+'Budget Detail FY 2013-20'!Q1019</f>
        <v>1494499</v>
      </c>
      <c r="I1014" s="132">
        <f>'Budget Detail FY 2013-20'!R943+'Budget Detail FY 2013-20'!R996+'Budget Detail FY 2013-20'!R1019</f>
        <v>1509138</v>
      </c>
      <c r="J1014" s="132">
        <f>'Budget Detail FY 2013-20'!S943+'Budget Detail FY 2013-20'!S996+'Budget Detail FY 2013-20'!S1019</f>
        <v>1542978</v>
      </c>
      <c r="K1014" s="132">
        <f>'Budget Detail FY 2013-20'!T943+'Budget Detail FY 2013-20'!T996+'Budget Detail FY 2013-20'!T1019</f>
        <v>1555153</v>
      </c>
      <c r="L1014" s="571" t="s">
        <v>1150</v>
      </c>
    </row>
    <row r="1015" spans="2:12" s="570" customFormat="1" hidden="1">
      <c r="B1015" s="157"/>
      <c r="C1015" s="163">
        <f>C1013-C1014</f>
        <v>0</v>
      </c>
      <c r="D1015" s="163">
        <f t="shared" ref="D1015:K1015" si="175">D1013-D1014</f>
        <v>0</v>
      </c>
      <c r="E1015" s="163">
        <f t="shared" si="175"/>
        <v>0</v>
      </c>
      <c r="F1015" s="163">
        <f t="shared" si="175"/>
        <v>0</v>
      </c>
      <c r="G1015" s="163">
        <f t="shared" si="175"/>
        <v>0</v>
      </c>
      <c r="H1015" s="163">
        <f t="shared" si="175"/>
        <v>0</v>
      </c>
      <c r="I1015" s="163">
        <f t="shared" si="175"/>
        <v>0</v>
      </c>
      <c r="J1015" s="163">
        <f t="shared" si="175"/>
        <v>0</v>
      </c>
      <c r="K1015" s="163">
        <f t="shared" si="175"/>
        <v>0</v>
      </c>
      <c r="L1015" s="571" t="s">
        <v>1151</v>
      </c>
    </row>
    <row r="1016" spans="2:12" ht="7.5" customHeight="1">
      <c r="B1016" s="1"/>
      <c r="C1016" s="2"/>
      <c r="D1016" s="2"/>
      <c r="E1016" s="2"/>
      <c r="F1016" s="2"/>
      <c r="G1016" s="2"/>
      <c r="H1016" s="2"/>
      <c r="I1016" s="2"/>
      <c r="J1016" s="2"/>
      <c r="K1016" s="2"/>
    </row>
    <row r="1017" spans="2:12">
      <c r="B1017" s="158" t="s">
        <v>598</v>
      </c>
      <c r="C1017" s="2"/>
      <c r="D1017" s="2"/>
      <c r="E1017" s="2"/>
      <c r="F1017" s="2"/>
      <c r="G1017" s="2"/>
      <c r="H1017" s="2"/>
      <c r="I1017" s="2"/>
      <c r="J1017" s="2"/>
      <c r="K1017" s="2"/>
    </row>
    <row r="1018" spans="2:12" ht="20.100000000000001" customHeight="1">
      <c r="B1018" s="508" t="s">
        <v>844</v>
      </c>
      <c r="C1018" s="2">
        <f>C711</f>
        <v>420283</v>
      </c>
      <c r="D1018" s="2">
        <f t="shared" ref="D1018:K1018" si="176">D711</f>
        <v>414525</v>
      </c>
      <c r="E1018" s="2">
        <f t="shared" si="176"/>
        <v>447540</v>
      </c>
      <c r="F1018" s="2">
        <f t="shared" si="176"/>
        <v>447540</v>
      </c>
      <c r="G1018" s="2">
        <f t="shared" si="176"/>
        <v>397860</v>
      </c>
      <c r="H1018" s="2">
        <f t="shared" si="176"/>
        <v>397860</v>
      </c>
      <c r="I1018" s="2">
        <f t="shared" si="176"/>
        <v>397860</v>
      </c>
      <c r="J1018" s="2">
        <f t="shared" si="176"/>
        <v>397860</v>
      </c>
      <c r="K1018" s="2">
        <f t="shared" si="176"/>
        <v>397860</v>
      </c>
    </row>
    <row r="1019" spans="2:12" ht="20.100000000000001" customHeight="1">
      <c r="B1019" s="508" t="s">
        <v>845</v>
      </c>
      <c r="C1019" s="2">
        <f>C712</f>
        <v>177713</v>
      </c>
      <c r="D1019" s="2">
        <f t="shared" ref="D1019:K1019" si="177">D712</f>
        <v>170118</v>
      </c>
      <c r="E1019" s="2">
        <f t="shared" si="177"/>
        <v>204448</v>
      </c>
      <c r="F1019" s="2">
        <f t="shared" si="177"/>
        <v>198123</v>
      </c>
      <c r="G1019" s="2">
        <f t="shared" si="177"/>
        <v>171013</v>
      </c>
      <c r="H1019" s="2">
        <f t="shared" si="177"/>
        <v>181275</v>
      </c>
      <c r="I1019" s="2">
        <f t="shared" si="177"/>
        <v>191845</v>
      </c>
      <c r="J1019" s="2">
        <f t="shared" si="177"/>
        <v>203196</v>
      </c>
      <c r="K1019" s="2">
        <f t="shared" si="177"/>
        <v>215379</v>
      </c>
    </row>
    <row r="1020" spans="2:12" ht="20.100000000000001" customHeight="1">
      <c r="B1020" s="508" t="s">
        <v>846</v>
      </c>
      <c r="C1020" s="2">
        <f t="shared" ref="C1020:K1020" si="178">C713+C807</f>
        <v>104651</v>
      </c>
      <c r="D1020" s="2">
        <f t="shared" si="178"/>
        <v>97739</v>
      </c>
      <c r="E1020" s="2">
        <f t="shared" si="178"/>
        <v>115965</v>
      </c>
      <c r="F1020" s="2">
        <f t="shared" si="178"/>
        <v>133438</v>
      </c>
      <c r="G1020" s="2">
        <f t="shared" si="178"/>
        <v>131749</v>
      </c>
      <c r="H1020" s="2">
        <f t="shared" si="178"/>
        <v>117671</v>
      </c>
      <c r="I1020" s="2">
        <f t="shared" si="178"/>
        <v>118648</v>
      </c>
      <c r="J1020" s="2">
        <f t="shared" si="178"/>
        <v>119683</v>
      </c>
      <c r="K1020" s="2">
        <f t="shared" si="178"/>
        <v>120781</v>
      </c>
    </row>
    <row r="1021" spans="2:12" ht="20.100000000000001" customHeight="1">
      <c r="B1021" s="508" t="s">
        <v>847</v>
      </c>
      <c r="C1021" s="2">
        <f t="shared" ref="C1021:K1021" si="179">C714+C808</f>
        <v>50475</v>
      </c>
      <c r="D1021" s="2">
        <f t="shared" si="179"/>
        <v>55369</v>
      </c>
      <c r="E1021" s="2">
        <f t="shared" si="179"/>
        <v>70515</v>
      </c>
      <c r="F1021" s="2">
        <f t="shared" si="179"/>
        <v>70515</v>
      </c>
      <c r="G1021" s="2">
        <f t="shared" si="179"/>
        <v>27395</v>
      </c>
      <c r="H1021" s="2">
        <f t="shared" si="179"/>
        <v>35500</v>
      </c>
      <c r="I1021" s="2">
        <f t="shared" si="179"/>
        <v>35510</v>
      </c>
      <c r="J1021" s="2">
        <f t="shared" si="179"/>
        <v>35510</v>
      </c>
      <c r="K1021" s="2">
        <f t="shared" si="179"/>
        <v>35510</v>
      </c>
    </row>
    <row r="1022" spans="2:12" ht="20.100000000000001" customHeight="1">
      <c r="B1022" s="509" t="s">
        <v>772</v>
      </c>
      <c r="C1022" s="2">
        <f>C762</f>
        <v>795488</v>
      </c>
      <c r="D1022" s="2">
        <f t="shared" ref="D1022:K1022" si="180">D762</f>
        <v>767720</v>
      </c>
      <c r="E1022" s="2">
        <f t="shared" si="180"/>
        <v>731321</v>
      </c>
      <c r="F1022" s="2">
        <f t="shared" si="180"/>
        <v>731321</v>
      </c>
      <c r="G1022" s="2">
        <f t="shared" si="180"/>
        <v>749846</v>
      </c>
      <c r="H1022" s="2">
        <f t="shared" si="180"/>
        <v>752771</v>
      </c>
      <c r="I1022" s="2">
        <f t="shared" si="180"/>
        <v>760396</v>
      </c>
      <c r="J1022" s="2">
        <f t="shared" si="180"/>
        <v>792101</v>
      </c>
      <c r="K1022" s="2">
        <f t="shared" si="180"/>
        <v>797013</v>
      </c>
    </row>
    <row r="1023" spans="2:12" ht="20.100000000000001" customHeight="1">
      <c r="B1023" s="509" t="s">
        <v>850</v>
      </c>
      <c r="C1023" s="2">
        <f>C715</f>
        <v>5469</v>
      </c>
      <c r="D1023" s="2">
        <f t="shared" ref="D1023:K1023" si="181">D715</f>
        <v>21185</v>
      </c>
      <c r="E1023" s="2">
        <f t="shared" si="181"/>
        <v>0</v>
      </c>
      <c r="F1023" s="2">
        <f t="shared" si="181"/>
        <v>3558</v>
      </c>
      <c r="G1023" s="2">
        <f t="shared" si="181"/>
        <v>0</v>
      </c>
      <c r="H1023" s="2">
        <f t="shared" si="181"/>
        <v>0</v>
      </c>
      <c r="I1023" s="2">
        <f t="shared" si="181"/>
        <v>0</v>
      </c>
      <c r="J1023" s="2">
        <f t="shared" si="181"/>
        <v>0</v>
      </c>
      <c r="K1023" s="2">
        <f t="shared" si="181"/>
        <v>0</v>
      </c>
    </row>
    <row r="1024" spans="2:12" ht="20.100000000000001" customHeight="1" thickBot="1">
      <c r="B1024" s="153" t="s">
        <v>851</v>
      </c>
      <c r="C1024" s="150">
        <f t="shared" ref="C1024:K1024" si="182">SUM(C1018:C1023)</f>
        <v>1554079</v>
      </c>
      <c r="D1024" s="150">
        <f t="shared" si="182"/>
        <v>1526656</v>
      </c>
      <c r="E1024" s="150">
        <f t="shared" si="182"/>
        <v>1569789</v>
      </c>
      <c r="F1024" s="150">
        <f t="shared" si="182"/>
        <v>1584495</v>
      </c>
      <c r="G1024" s="150">
        <f t="shared" si="182"/>
        <v>1477863</v>
      </c>
      <c r="H1024" s="150">
        <f t="shared" si="182"/>
        <v>1485077</v>
      </c>
      <c r="I1024" s="150">
        <f t="shared" si="182"/>
        <v>1504259</v>
      </c>
      <c r="J1024" s="150">
        <f t="shared" si="182"/>
        <v>1548350</v>
      </c>
      <c r="K1024" s="150">
        <f t="shared" si="182"/>
        <v>1566543</v>
      </c>
    </row>
    <row r="1025" spans="2:12" s="569" customFormat="1" hidden="1">
      <c r="B1025" s="155"/>
      <c r="C1025" s="132">
        <f>'Budget Detail FY 2013-20'!L983+'Budget Detail FY 2013-20'!L1008+'Budget Detail FY 2013-20'!L1028</f>
        <v>1554079</v>
      </c>
      <c r="D1025" s="132">
        <f>'Budget Detail FY 2013-20'!M983+'Budget Detail FY 2013-20'!M1008+'Budget Detail FY 2013-20'!M1028</f>
        <v>1526656</v>
      </c>
      <c r="E1025" s="132">
        <f>'Budget Detail FY 2013-20'!N983+'Budget Detail FY 2013-20'!N1008+'Budget Detail FY 2013-20'!N1028</f>
        <v>1569789</v>
      </c>
      <c r="F1025" s="132">
        <f>'Budget Detail FY 2013-20'!O983+'Budget Detail FY 2013-20'!O1008+'Budget Detail FY 2013-20'!O1028</f>
        <v>1584495</v>
      </c>
      <c r="G1025" s="132">
        <f>'Budget Detail FY 2013-20'!P983+'Budget Detail FY 2013-20'!P1008+'Budget Detail FY 2013-20'!P1028</f>
        <v>1477863</v>
      </c>
      <c r="H1025" s="132">
        <f>'Budget Detail FY 2013-20'!Q983+'Budget Detail FY 2013-20'!Q1008+'Budget Detail FY 2013-20'!Q1028</f>
        <v>1485077</v>
      </c>
      <c r="I1025" s="132">
        <f>'Budget Detail FY 2013-20'!R983+'Budget Detail FY 2013-20'!R1008+'Budget Detail FY 2013-20'!R1028</f>
        <v>1504259</v>
      </c>
      <c r="J1025" s="132">
        <f>'Budget Detail FY 2013-20'!S983+'Budget Detail FY 2013-20'!S1008+'Budget Detail FY 2013-20'!S1028</f>
        <v>1548350</v>
      </c>
      <c r="K1025" s="132">
        <f>'Budget Detail FY 2013-20'!T983+'Budget Detail FY 2013-20'!T1008+'Budget Detail FY 2013-20'!T1028</f>
        <v>1566543</v>
      </c>
      <c r="L1025" s="571" t="s">
        <v>1150</v>
      </c>
    </row>
    <row r="1026" spans="2:12" s="570" customFormat="1" hidden="1">
      <c r="B1026" s="157"/>
      <c r="C1026" s="133">
        <f>C1024-C1025</f>
        <v>0</v>
      </c>
      <c r="D1026" s="133">
        <f t="shared" ref="D1026:K1026" si="183">D1024-D1025</f>
        <v>0</v>
      </c>
      <c r="E1026" s="133">
        <f t="shared" si="183"/>
        <v>0</v>
      </c>
      <c r="F1026" s="133">
        <f t="shared" si="183"/>
        <v>0</v>
      </c>
      <c r="G1026" s="133">
        <f t="shared" si="183"/>
        <v>0</v>
      </c>
      <c r="H1026" s="133">
        <f t="shared" si="183"/>
        <v>0</v>
      </c>
      <c r="I1026" s="133">
        <f t="shared" si="183"/>
        <v>0</v>
      </c>
      <c r="J1026" s="133">
        <f t="shared" si="183"/>
        <v>0</v>
      </c>
      <c r="K1026" s="133">
        <f t="shared" si="183"/>
        <v>0</v>
      </c>
      <c r="L1026" s="571" t="s">
        <v>1151</v>
      </c>
    </row>
    <row r="1027" spans="2:12" ht="7.5" customHeight="1">
      <c r="B1027" s="160"/>
      <c r="C1027" s="3"/>
      <c r="D1027" s="2"/>
      <c r="E1027" s="2"/>
      <c r="F1027" s="2"/>
      <c r="G1027" s="2"/>
      <c r="H1027" s="2"/>
      <c r="I1027" s="2"/>
      <c r="J1027" s="2"/>
      <c r="K1027" s="2"/>
    </row>
    <row r="1028" spans="2:12" ht="20.100000000000001" customHeight="1">
      <c r="B1028" s="510" t="s">
        <v>852</v>
      </c>
      <c r="C1028" s="3">
        <f t="shared" ref="C1028:K1028" si="184">+C1013-C1024</f>
        <v>68022</v>
      </c>
      <c r="D1028" s="3">
        <f t="shared" si="184"/>
        <v>36122</v>
      </c>
      <c r="E1028" s="3">
        <f t="shared" si="184"/>
        <v>-85733</v>
      </c>
      <c r="F1028" s="3">
        <f t="shared" si="184"/>
        <v>-118388</v>
      </c>
      <c r="G1028" s="3">
        <f t="shared" si="184"/>
        <v>13451</v>
      </c>
      <c r="H1028" s="3">
        <f t="shared" si="184"/>
        <v>9422</v>
      </c>
      <c r="I1028" s="3">
        <f t="shared" si="184"/>
        <v>4879</v>
      </c>
      <c r="J1028" s="3">
        <f t="shared" si="184"/>
        <v>-5372</v>
      </c>
      <c r="K1028" s="3">
        <f t="shared" si="184"/>
        <v>-11390</v>
      </c>
    </row>
    <row r="1029" spans="2:12" s="569" customFormat="1" hidden="1">
      <c r="B1029" s="161"/>
      <c r="C1029" s="132">
        <f>'Budget Detail FY 2013-20'!L985+'Budget Detail FY 2013-20'!L1010+'Budget Detail FY 2013-20'!L1030</f>
        <v>68022</v>
      </c>
      <c r="D1029" s="132">
        <f>'Budget Detail FY 2013-20'!M985+'Budget Detail FY 2013-20'!M1010+'Budget Detail FY 2013-20'!M1030</f>
        <v>36122</v>
      </c>
      <c r="E1029" s="132">
        <f>'Budget Detail FY 2013-20'!N985+'Budget Detail FY 2013-20'!N1010+'Budget Detail FY 2013-20'!N1030</f>
        <v>-85733</v>
      </c>
      <c r="F1029" s="132">
        <f>'Budget Detail FY 2013-20'!O985+'Budget Detail FY 2013-20'!O1010+'Budget Detail FY 2013-20'!O1030</f>
        <v>-118388</v>
      </c>
      <c r="G1029" s="132">
        <f>'Budget Detail FY 2013-20'!P985+'Budget Detail FY 2013-20'!P1010+'Budget Detail FY 2013-20'!P1030</f>
        <v>13451</v>
      </c>
      <c r="H1029" s="132">
        <f>'Budget Detail FY 2013-20'!Q985+'Budget Detail FY 2013-20'!Q1010+'Budget Detail FY 2013-20'!Q1030</f>
        <v>9422</v>
      </c>
      <c r="I1029" s="132">
        <f>'Budget Detail FY 2013-20'!R985+'Budget Detail FY 2013-20'!R1010+'Budget Detail FY 2013-20'!R1030</f>
        <v>4879</v>
      </c>
      <c r="J1029" s="132">
        <f>'Budget Detail FY 2013-20'!S985+'Budget Detail FY 2013-20'!S1010+'Budget Detail FY 2013-20'!S1030</f>
        <v>-5372</v>
      </c>
      <c r="K1029" s="132">
        <f>'Budget Detail FY 2013-20'!T985+'Budget Detail FY 2013-20'!T1010+'Budget Detail FY 2013-20'!T1030</f>
        <v>-11390</v>
      </c>
      <c r="L1029" s="571" t="s">
        <v>1150</v>
      </c>
    </row>
    <row r="1030" spans="2:12" s="570" customFormat="1" hidden="1">
      <c r="B1030" s="162"/>
      <c r="C1030" s="163">
        <f>C1028-C1029</f>
        <v>0</v>
      </c>
      <c r="D1030" s="163">
        <f t="shared" ref="D1030:K1030" si="185">D1028-D1029</f>
        <v>0</v>
      </c>
      <c r="E1030" s="163">
        <f t="shared" si="185"/>
        <v>0</v>
      </c>
      <c r="F1030" s="163">
        <f t="shared" si="185"/>
        <v>0</v>
      </c>
      <c r="G1030" s="163">
        <f t="shared" si="185"/>
        <v>0</v>
      </c>
      <c r="H1030" s="163">
        <f t="shared" si="185"/>
        <v>0</v>
      </c>
      <c r="I1030" s="163">
        <f t="shared" si="185"/>
        <v>0</v>
      </c>
      <c r="J1030" s="163">
        <f t="shared" si="185"/>
        <v>0</v>
      </c>
      <c r="K1030" s="163">
        <f t="shared" si="185"/>
        <v>0</v>
      </c>
      <c r="L1030" s="571" t="s">
        <v>1151</v>
      </c>
    </row>
    <row r="1031" spans="2:12" ht="7.5" customHeight="1">
      <c r="B1031" s="164"/>
      <c r="C1031" s="3"/>
      <c r="D1031" s="2"/>
      <c r="E1031" s="2"/>
      <c r="F1031" s="2"/>
      <c r="G1031" s="2"/>
      <c r="H1031" s="2"/>
      <c r="I1031" s="2"/>
      <c r="J1031" s="2"/>
      <c r="K1031" s="2"/>
    </row>
    <row r="1032" spans="2:12" ht="20.100000000000001" customHeight="1" thickBot="1">
      <c r="B1032" s="152" t="s">
        <v>853</v>
      </c>
      <c r="C1032" s="83">
        <v>461825</v>
      </c>
      <c r="D1032" s="83">
        <v>497946</v>
      </c>
      <c r="E1032" s="83">
        <v>354813</v>
      </c>
      <c r="F1032" s="83">
        <f>D1032+F1028</f>
        <v>379558</v>
      </c>
      <c r="G1032" s="83">
        <f>F1032+G1028</f>
        <v>393009</v>
      </c>
      <c r="H1032" s="83">
        <f>G1032+H1028</f>
        <v>402431</v>
      </c>
      <c r="I1032" s="83">
        <f>H1032+I1028</f>
        <v>407310</v>
      </c>
      <c r="J1032" s="83">
        <f>I1032+J1028</f>
        <v>401938</v>
      </c>
      <c r="K1032" s="83">
        <f>J1032+K1028</f>
        <v>390548</v>
      </c>
    </row>
    <row r="1033" spans="2:12" s="569" customFormat="1" ht="15.75" hidden="1" thickTop="1">
      <c r="B1033" s="155"/>
      <c r="C1033" s="132">
        <f>'Budget Detail FY 2013-20'!L1168</f>
        <v>461825</v>
      </c>
      <c r="D1033" s="132">
        <f>'Budget Detail FY 2013-20'!M1168</f>
        <v>497946</v>
      </c>
      <c r="E1033" s="132">
        <f>'Budget Detail FY 2013-20'!N1168</f>
        <v>354813</v>
      </c>
      <c r="F1033" s="132">
        <f>'Budget Detail FY 2013-20'!O1168</f>
        <v>379558</v>
      </c>
      <c r="G1033" s="132">
        <f>'Budget Detail FY 2013-20'!P1168</f>
        <v>393009</v>
      </c>
      <c r="H1033" s="132">
        <f>'Budget Detail FY 2013-20'!Q1168</f>
        <v>402431</v>
      </c>
      <c r="I1033" s="132">
        <f>'Budget Detail FY 2013-20'!R1168</f>
        <v>407310</v>
      </c>
      <c r="J1033" s="132">
        <f>'Budget Detail FY 2013-20'!S1168</f>
        <v>401938</v>
      </c>
      <c r="K1033" s="132">
        <f>'Budget Detail FY 2013-20'!T1168</f>
        <v>390548</v>
      </c>
      <c r="L1033" s="571" t="s">
        <v>1150</v>
      </c>
    </row>
    <row r="1034" spans="2:12" s="570" customFormat="1" hidden="1">
      <c r="B1034" s="157"/>
      <c r="C1034" s="163">
        <f>C1032-('Budget Detail FY 2013-20'!L987+'Budget Detail FY 2013-20'!L1012+'Budget Detail FY 2013-20'!L1032)</f>
        <v>0</v>
      </c>
      <c r="D1034" s="163">
        <f>D1032-('Budget Detail FY 2013-20'!M987+'Budget Detail FY 2013-20'!M1012+'Budget Detail FY 2013-20'!M1032)</f>
        <v>0</v>
      </c>
      <c r="E1034" s="163">
        <f>E1032-('Budget Detail FY 2013-20'!N987+'Budget Detail FY 2013-20'!N1012+'Budget Detail FY 2013-20'!N1032)</f>
        <v>0</v>
      </c>
      <c r="F1034" s="163">
        <f>F1032-('Budget Detail FY 2013-20'!O987+'Budget Detail FY 2013-20'!O1012+'Budget Detail FY 2013-20'!O1032)</f>
        <v>0</v>
      </c>
      <c r="G1034" s="163">
        <f>G1032-('Budget Detail FY 2013-20'!P987+'Budget Detail FY 2013-20'!P1012+'Budget Detail FY 2013-20'!P1032)</f>
        <v>0</v>
      </c>
      <c r="H1034" s="163">
        <f>H1032-('Budget Detail FY 2013-20'!Q987+'Budget Detail FY 2013-20'!Q1012+'Budget Detail FY 2013-20'!Q1032)</f>
        <v>0</v>
      </c>
      <c r="I1034" s="163">
        <f>I1032-('Budget Detail FY 2013-20'!R987+'Budget Detail FY 2013-20'!R1012+'Budget Detail FY 2013-20'!R1032)</f>
        <v>0</v>
      </c>
      <c r="J1034" s="163">
        <f>J1032-('Budget Detail FY 2013-20'!S987+'Budget Detail FY 2013-20'!S1012+'Budget Detail FY 2013-20'!S1032)</f>
        <v>0</v>
      </c>
      <c r="K1034" s="163">
        <f>K1032-('Budget Detail FY 2013-20'!T987+'Budget Detail FY 2013-20'!T1012+'Budget Detail FY 2013-20'!T1032)</f>
        <v>0</v>
      </c>
      <c r="L1034" s="571" t="s">
        <v>1151</v>
      </c>
    </row>
    <row r="1035" spans="2:12" s="570" customFormat="1" hidden="1">
      <c r="B1035" s="157"/>
      <c r="C1035" s="163">
        <f>C1032-C1033</f>
        <v>0</v>
      </c>
      <c r="D1035" s="163">
        <f t="shared" ref="D1035:K1035" si="186">D1032-D1033</f>
        <v>0</v>
      </c>
      <c r="E1035" s="163">
        <f t="shared" si="186"/>
        <v>0</v>
      </c>
      <c r="F1035" s="163">
        <f t="shared" si="186"/>
        <v>0</v>
      </c>
      <c r="G1035" s="163">
        <f t="shared" si="186"/>
        <v>0</v>
      </c>
      <c r="H1035" s="163">
        <f t="shared" si="186"/>
        <v>0</v>
      </c>
      <c r="I1035" s="163">
        <f t="shared" si="186"/>
        <v>0</v>
      </c>
      <c r="J1035" s="163">
        <f t="shared" si="186"/>
        <v>0</v>
      </c>
      <c r="K1035" s="163">
        <f t="shared" si="186"/>
        <v>0</v>
      </c>
      <c r="L1035" s="571" t="s">
        <v>1236</v>
      </c>
    </row>
    <row r="1036" spans="2:12" ht="15.75" thickTop="1">
      <c r="B1036" s="165"/>
      <c r="C1036" s="166">
        <f t="shared" ref="C1036:K1036" si="187">+C1032/C1024</f>
        <v>0.2971695776083455</v>
      </c>
      <c r="D1036" s="166">
        <f t="shared" si="187"/>
        <v>0.32616778108493333</v>
      </c>
      <c r="E1036" s="166">
        <f t="shared" si="187"/>
        <v>0.22602591813294653</v>
      </c>
      <c r="F1036" s="166">
        <f t="shared" si="187"/>
        <v>0.23954509165380769</v>
      </c>
      <c r="G1036" s="166">
        <f t="shared" si="187"/>
        <v>0.26593060385164252</v>
      </c>
      <c r="H1036" s="166">
        <f t="shared" si="187"/>
        <v>0.27098325541369234</v>
      </c>
      <c r="I1036" s="166">
        <f t="shared" si="187"/>
        <v>0.27077119033357955</v>
      </c>
      <c r="J1036" s="166">
        <f>+J1032/J1024</f>
        <v>0.25959117770529921</v>
      </c>
      <c r="K1036" s="166">
        <f t="shared" si="187"/>
        <v>0.2493056366789804</v>
      </c>
    </row>
    <row r="1037" spans="2:12">
      <c r="B1037" s="165"/>
      <c r="C1037" s="166"/>
      <c r="D1037" s="166"/>
      <c r="E1037" s="166"/>
      <c r="F1037" s="166"/>
      <c r="G1037" s="166"/>
      <c r="H1037" s="166"/>
      <c r="I1037" s="166"/>
      <c r="J1037" s="166"/>
      <c r="K1037" s="166"/>
    </row>
    <row r="1038" spans="2:12" ht="7.5" customHeight="1">
      <c r="B1038" s="165"/>
      <c r="C1038" s="178"/>
      <c r="D1038" s="178"/>
      <c r="E1038" s="178"/>
      <c r="F1038" s="178"/>
      <c r="G1038" s="178"/>
      <c r="H1038" s="178"/>
      <c r="I1038" s="178"/>
      <c r="J1038" s="178"/>
      <c r="K1038" s="178"/>
    </row>
    <row r="1039" spans="2:12">
      <c r="B1039" s="165"/>
      <c r="C1039" s="2"/>
      <c r="D1039" s="2"/>
      <c r="E1039" s="2"/>
      <c r="F1039" s="2"/>
      <c r="G1039" s="2"/>
      <c r="H1039" s="2"/>
      <c r="I1039" s="2"/>
      <c r="J1039" s="2"/>
      <c r="K1039" s="2"/>
    </row>
    <row r="1040" spans="2:12">
      <c r="B1040" s="1"/>
      <c r="C1040" s="2"/>
      <c r="D1040" s="2"/>
      <c r="E1040" s="2"/>
      <c r="F1040" s="2"/>
      <c r="G1040" s="2"/>
      <c r="H1040" s="2"/>
      <c r="I1040" s="2"/>
      <c r="J1040" s="2"/>
      <c r="K1040" s="2"/>
    </row>
    <row r="1041" spans="2:11">
      <c r="B1041" s="1"/>
      <c r="C1041" s="2"/>
      <c r="D1041" s="2"/>
      <c r="E1041" s="2"/>
      <c r="F1041" s="2"/>
      <c r="G1041" s="2"/>
      <c r="H1041" s="2"/>
      <c r="I1041" s="2"/>
      <c r="J1041" s="2"/>
      <c r="K1041" s="2"/>
    </row>
    <row r="1042" spans="2:11">
      <c r="B1042" s="1"/>
      <c r="C1042" s="2"/>
      <c r="D1042" s="2"/>
      <c r="E1042" s="2"/>
      <c r="F1042" s="2"/>
      <c r="G1042" s="2"/>
      <c r="H1042" s="2"/>
      <c r="I1042" s="2"/>
      <c r="J1042" s="2"/>
      <c r="K1042" s="2"/>
    </row>
    <row r="1043" spans="2:11">
      <c r="B1043" s="1"/>
      <c r="C1043" s="2"/>
      <c r="D1043" s="2"/>
      <c r="E1043" s="2"/>
      <c r="F1043" s="2"/>
      <c r="G1043" s="2"/>
      <c r="H1043" s="2"/>
      <c r="I1043" s="2"/>
      <c r="J1043" s="2"/>
      <c r="K1043" s="2"/>
    </row>
    <row r="1044" spans="2:11">
      <c r="B1044" s="1"/>
      <c r="C1044" s="2"/>
      <c r="D1044" s="2"/>
      <c r="E1044" s="2"/>
      <c r="F1044" s="2"/>
      <c r="G1044" s="2"/>
      <c r="H1044" s="2"/>
      <c r="I1044" s="2"/>
      <c r="J1044" s="2"/>
      <c r="K1044" s="2"/>
    </row>
    <row r="1045" spans="2:11">
      <c r="B1045" s="1"/>
      <c r="C1045" s="2"/>
      <c r="D1045" s="2"/>
      <c r="E1045" s="2"/>
      <c r="F1045" s="2"/>
      <c r="G1045" s="2"/>
      <c r="H1045" s="2"/>
      <c r="I1045" s="2"/>
      <c r="J1045" s="2"/>
      <c r="K1045" s="2"/>
    </row>
    <row r="1046" spans="2:11">
      <c r="B1046" s="1"/>
      <c r="C1046" s="2"/>
      <c r="D1046" s="2"/>
      <c r="E1046" s="2"/>
      <c r="F1046" s="2"/>
      <c r="G1046" s="2"/>
      <c r="H1046" s="2"/>
      <c r="I1046" s="2"/>
      <c r="J1046" s="2"/>
      <c r="K1046" s="2"/>
    </row>
    <row r="1047" spans="2:11">
      <c r="B1047" s="1"/>
      <c r="C1047" s="2"/>
      <c r="D1047" s="2"/>
      <c r="E1047" s="2"/>
      <c r="F1047" s="2"/>
      <c r="G1047" s="2"/>
      <c r="H1047" s="2"/>
      <c r="I1047" s="2"/>
      <c r="J1047" s="2"/>
      <c r="K1047" s="2"/>
    </row>
    <row r="1048" spans="2:11">
      <c r="B1048" s="1"/>
      <c r="C1048" s="2"/>
      <c r="D1048" s="2"/>
      <c r="E1048" s="2"/>
      <c r="F1048" s="2"/>
      <c r="G1048" s="2"/>
      <c r="H1048" s="2"/>
      <c r="I1048" s="2"/>
      <c r="J1048" s="2"/>
      <c r="K1048" s="2"/>
    </row>
    <row r="1049" spans="2:11">
      <c r="B1049" s="1"/>
      <c r="C1049" s="2"/>
      <c r="D1049" s="2"/>
      <c r="E1049" s="2"/>
      <c r="F1049" s="2"/>
      <c r="G1049" s="2"/>
      <c r="H1049" s="2"/>
      <c r="I1049" s="2"/>
      <c r="J1049" s="2"/>
      <c r="K1049" s="2"/>
    </row>
    <row r="1050" spans="2:11">
      <c r="B1050" s="1"/>
      <c r="C1050" s="2"/>
      <c r="D1050" s="2"/>
      <c r="E1050" s="2"/>
      <c r="F1050" s="2"/>
      <c r="G1050" s="2"/>
      <c r="H1050" s="2"/>
      <c r="I1050" s="2"/>
      <c r="J1050" s="2"/>
      <c r="K1050" s="2"/>
    </row>
    <row r="1051" spans="2:11">
      <c r="B1051" s="1"/>
      <c r="C1051" s="2"/>
      <c r="D1051" s="2"/>
      <c r="E1051" s="2"/>
      <c r="F1051" s="2"/>
      <c r="G1051" s="2"/>
      <c r="H1051" s="2"/>
      <c r="I1051" s="2"/>
      <c r="J1051" s="2"/>
      <c r="K1051" s="2"/>
    </row>
    <row r="1052" spans="2:11">
      <c r="B1052" s="740" t="s">
        <v>1131</v>
      </c>
      <c r="C1052" s="740"/>
      <c r="D1052" s="740"/>
      <c r="E1052" s="740"/>
      <c r="F1052" s="740"/>
      <c r="G1052" s="740"/>
      <c r="H1052" s="740"/>
      <c r="I1052" s="740"/>
      <c r="J1052" s="740"/>
      <c r="K1052" s="740"/>
    </row>
    <row r="1053" spans="2:11" ht="7.5" customHeight="1">
      <c r="B1053" s="65"/>
      <c r="C1053" s="3"/>
      <c r="D1053" s="2"/>
      <c r="E1053" s="2"/>
      <c r="F1053" s="2"/>
      <c r="G1053" s="2"/>
      <c r="H1053" s="2"/>
      <c r="I1053" s="2"/>
      <c r="J1053" s="2"/>
      <c r="K1053" s="2"/>
    </row>
    <row r="1054" spans="2:11">
      <c r="B1054" s="731" t="s">
        <v>1135</v>
      </c>
      <c r="C1054" s="731"/>
      <c r="D1054" s="731"/>
      <c r="E1054" s="731"/>
      <c r="F1054" s="731"/>
      <c r="G1054" s="731"/>
      <c r="H1054" s="731"/>
      <c r="I1054" s="731"/>
      <c r="J1054" s="731"/>
      <c r="K1054" s="731"/>
    </row>
    <row r="1055" spans="2:11">
      <c r="B1055" s="731"/>
      <c r="C1055" s="731"/>
      <c r="D1055" s="731"/>
      <c r="E1055" s="731"/>
      <c r="F1055" s="731"/>
      <c r="G1055" s="731"/>
      <c r="H1055" s="731"/>
      <c r="I1055" s="731"/>
      <c r="J1055" s="731"/>
      <c r="K1055" s="731"/>
    </row>
    <row r="1056" spans="2:11">
      <c r="B1056" s="731"/>
      <c r="C1056" s="731"/>
      <c r="D1056" s="731"/>
      <c r="E1056" s="731"/>
      <c r="F1056" s="731"/>
      <c r="G1056" s="731"/>
      <c r="H1056" s="731"/>
      <c r="I1056" s="731"/>
      <c r="J1056" s="731"/>
      <c r="K1056" s="731"/>
    </row>
    <row r="1057" spans="2:12">
      <c r="B1057" s="731"/>
      <c r="C1057" s="731"/>
      <c r="D1057" s="731"/>
      <c r="E1057" s="731"/>
      <c r="F1057" s="731"/>
      <c r="G1057" s="731"/>
      <c r="H1057" s="731"/>
      <c r="I1057" s="731"/>
      <c r="J1057" s="731"/>
      <c r="K1057" s="731"/>
    </row>
    <row r="1058" spans="2:12">
      <c r="B1058" s="5"/>
      <c r="C1058" s="65"/>
      <c r="D1058" s="66"/>
      <c r="E1058" s="65" t="s">
        <v>270</v>
      </c>
      <c r="F1058" s="1"/>
      <c r="G1058" s="1"/>
      <c r="H1058" s="1"/>
      <c r="I1058" s="1"/>
      <c r="J1058" s="1"/>
      <c r="K1058" s="1"/>
    </row>
    <row r="1059" spans="2:12">
      <c r="B1059" s="66"/>
      <c r="C1059" s="65" t="s">
        <v>257</v>
      </c>
      <c r="D1059" s="49" t="s">
        <v>258</v>
      </c>
      <c r="E1059" s="66" t="s">
        <v>832</v>
      </c>
      <c r="F1059" s="66" t="s">
        <v>270</v>
      </c>
      <c r="G1059" s="66" t="s">
        <v>271</v>
      </c>
      <c r="H1059" s="66" t="s">
        <v>272</v>
      </c>
      <c r="I1059" s="66" t="s">
        <v>996</v>
      </c>
      <c r="J1059" s="66" t="s">
        <v>1101</v>
      </c>
      <c r="K1059" s="66" t="s">
        <v>1136</v>
      </c>
    </row>
    <row r="1060" spans="2:12" ht="15.75" thickBot="1">
      <c r="B1060" s="169"/>
      <c r="C1060" s="68" t="s">
        <v>1</v>
      </c>
      <c r="D1060" s="68" t="s">
        <v>1</v>
      </c>
      <c r="E1060" s="68" t="s">
        <v>787</v>
      </c>
      <c r="F1060" s="68" t="s">
        <v>19</v>
      </c>
      <c r="G1060" s="68" t="s">
        <v>832</v>
      </c>
      <c r="H1060" s="68" t="s">
        <v>19</v>
      </c>
      <c r="I1060" s="68" t="s">
        <v>19</v>
      </c>
      <c r="J1060" s="68" t="s">
        <v>19</v>
      </c>
      <c r="K1060" s="68" t="s">
        <v>19</v>
      </c>
    </row>
    <row r="1061" spans="2:12">
      <c r="B1061" s="64"/>
      <c r="C1061" s="170"/>
      <c r="D1061" s="2"/>
      <c r="E1061" s="2"/>
      <c r="F1061" s="2"/>
      <c r="G1061" s="2"/>
      <c r="H1061" s="2"/>
      <c r="I1061" s="2"/>
      <c r="J1061" s="2"/>
      <c r="K1061" s="2"/>
    </row>
    <row r="1062" spans="2:12">
      <c r="B1062" s="158" t="s">
        <v>833</v>
      </c>
      <c r="C1062" s="2"/>
      <c r="D1062" s="2"/>
      <c r="E1062" s="2"/>
      <c r="F1062" s="2"/>
      <c r="G1062" s="2"/>
      <c r="H1062" s="2"/>
      <c r="I1062" s="2"/>
      <c r="J1062" s="2"/>
      <c r="K1062" s="2"/>
    </row>
    <row r="1063" spans="2:12" ht="20.100000000000001" customHeight="1">
      <c r="B1063" s="507" t="s">
        <v>838</v>
      </c>
      <c r="C1063" s="2">
        <f>C595+C648+'Budget Detail FY 2013-20'!L455+'Budget Detail FY 2013-20'!L462</f>
        <v>762533</v>
      </c>
      <c r="D1063" s="2">
        <f>D595+D648+'Budget Detail FY 2013-20'!M455+'Budget Detail FY 2013-20'!M462</f>
        <v>346019</v>
      </c>
      <c r="E1063" s="2">
        <f>E595+E648+'Budget Detail FY 2013-20'!N455+'Budget Detail FY 2013-20'!N462</f>
        <v>391925</v>
      </c>
      <c r="F1063" s="2">
        <f>F595+F648+'Budget Detail FY 2013-20'!O455+'Budget Detail FY 2013-20'!O462</f>
        <v>450925</v>
      </c>
      <c r="G1063" s="2">
        <f>G595+G648+'Budget Detail FY 2013-20'!P455+'Budget Detail FY 2013-20'!P462</f>
        <v>327275</v>
      </c>
      <c r="H1063" s="2">
        <f>H595+H648+'Budget Detail FY 2013-20'!Q455+'Budget Detail FY 2013-20'!Q462</f>
        <v>327275</v>
      </c>
      <c r="I1063" s="2">
        <f>I595+I648+'Budget Detail FY 2013-20'!R455+'Budget Detail FY 2013-20'!R462</f>
        <v>327275</v>
      </c>
      <c r="J1063" s="2">
        <f>J595+J648+'Budget Detail FY 2013-20'!S455+'Budget Detail FY 2013-20'!S462</f>
        <v>327275</v>
      </c>
      <c r="K1063" s="2">
        <f>K595+K648+'Budget Detail FY 2013-20'!T455+'Budget Detail FY 2013-20'!T462</f>
        <v>327275</v>
      </c>
    </row>
    <row r="1064" spans="2:12" ht="20.100000000000001" customHeight="1">
      <c r="B1064" s="507" t="s">
        <v>839</v>
      </c>
      <c r="C1064" s="2">
        <f>C596+'Budget Detail FY 2013-20'!L465</f>
        <v>757</v>
      </c>
      <c r="D1064" s="2">
        <f>D596+'Budget Detail FY 2013-20'!M465</f>
        <v>828</v>
      </c>
      <c r="E1064" s="2">
        <f>E596+'Budget Detail FY 2013-20'!N465</f>
        <v>700</v>
      </c>
      <c r="F1064" s="2">
        <f>F596+'Budget Detail FY 2013-20'!O465</f>
        <v>925</v>
      </c>
      <c r="G1064" s="2">
        <f>G596+'Budget Detail FY 2013-20'!P465</f>
        <v>650</v>
      </c>
      <c r="H1064" s="2">
        <f>H596+'Budget Detail FY 2013-20'!Q465</f>
        <v>650</v>
      </c>
      <c r="I1064" s="2">
        <f>I596+'Budget Detail FY 2013-20'!R465</f>
        <v>650</v>
      </c>
      <c r="J1064" s="2">
        <f>J596+'Budget Detail FY 2013-20'!S465</f>
        <v>650</v>
      </c>
      <c r="K1064" s="2">
        <f>K596+'Budget Detail FY 2013-20'!T465</f>
        <v>650</v>
      </c>
    </row>
    <row r="1065" spans="2:12" ht="20.100000000000001" customHeight="1">
      <c r="B1065" s="507" t="s">
        <v>840</v>
      </c>
      <c r="C1065" s="2">
        <f>C597+'Budget Detail FY 2013-20'!L466</f>
        <v>20947</v>
      </c>
      <c r="D1065" s="2">
        <f>D597+'Budget Detail FY 2013-20'!M466</f>
        <v>85728</v>
      </c>
      <c r="E1065" s="2">
        <f>E597+'Budget Detail FY 2013-20'!N466</f>
        <v>50000</v>
      </c>
      <c r="F1065" s="2">
        <f>F597+'Budget Detail FY 2013-20'!O466</f>
        <v>99000</v>
      </c>
      <c r="G1065" s="2">
        <f>G597+'Budget Detail FY 2013-20'!P466</f>
        <v>0</v>
      </c>
      <c r="H1065" s="2">
        <f>H597+'Budget Detail FY 2013-20'!Q466</f>
        <v>0</v>
      </c>
      <c r="I1065" s="2">
        <f>I597+'Budget Detail FY 2013-20'!R466</f>
        <v>0</v>
      </c>
      <c r="J1065" s="2">
        <f>J597+'Budget Detail FY 2013-20'!S466</f>
        <v>0</v>
      </c>
      <c r="K1065" s="2">
        <f>K597+'Budget Detail FY 2013-20'!T466</f>
        <v>0</v>
      </c>
    </row>
    <row r="1066" spans="2:12" ht="20.100000000000001" customHeight="1">
      <c r="B1066" s="507" t="s">
        <v>841</v>
      </c>
      <c r="C1066" s="2">
        <f>C598+C649</f>
        <v>213335</v>
      </c>
      <c r="D1066" s="2">
        <f t="shared" ref="D1066:K1066" si="188">D598+D649</f>
        <v>189396</v>
      </c>
      <c r="E1066" s="2">
        <f t="shared" si="188"/>
        <v>208000</v>
      </c>
      <c r="F1066" s="2">
        <f t="shared" si="188"/>
        <v>167000</v>
      </c>
      <c r="G1066" s="2">
        <f t="shared" si="188"/>
        <v>181000</v>
      </c>
      <c r="H1066" s="2">
        <f t="shared" si="188"/>
        <v>191000</v>
      </c>
      <c r="I1066" s="2">
        <f t="shared" si="188"/>
        <v>200700</v>
      </c>
      <c r="J1066" s="2">
        <f t="shared" si="188"/>
        <v>200700</v>
      </c>
      <c r="K1066" s="2">
        <f t="shared" si="188"/>
        <v>200700</v>
      </c>
    </row>
    <row r="1067" spans="2:12" ht="20.100000000000001" customHeight="1">
      <c r="B1067" s="507" t="s">
        <v>842</v>
      </c>
      <c r="C1067" s="2">
        <f t="shared" ref="C1067:K1067" si="189">C599+C650</f>
        <v>955886</v>
      </c>
      <c r="D1067" s="2">
        <f t="shared" si="189"/>
        <v>2254547</v>
      </c>
      <c r="E1067" s="2">
        <f t="shared" si="189"/>
        <v>1277606</v>
      </c>
      <c r="F1067" s="2">
        <f t="shared" si="189"/>
        <v>1277606</v>
      </c>
      <c r="G1067" s="2">
        <f t="shared" si="189"/>
        <v>1076831</v>
      </c>
      <c r="H1067" s="2">
        <f t="shared" si="189"/>
        <v>1342684</v>
      </c>
      <c r="I1067" s="2">
        <f t="shared" si="189"/>
        <v>1395093</v>
      </c>
      <c r="J1067" s="2">
        <f t="shared" si="189"/>
        <v>1460521</v>
      </c>
      <c r="K1067" s="2">
        <f t="shared" si="189"/>
        <v>1529934</v>
      </c>
    </row>
    <row r="1068" spans="2:12" ht="20.100000000000001" customHeight="1" thickBot="1">
      <c r="B1068" s="153" t="s">
        <v>843</v>
      </c>
      <c r="C1068" s="150">
        <f>SUM(C1063:C1067)</f>
        <v>1953458</v>
      </c>
      <c r="D1068" s="150">
        <f t="shared" ref="D1068:K1068" si="190">SUM(D1063:D1067)</f>
        <v>2876518</v>
      </c>
      <c r="E1068" s="150">
        <f t="shared" si="190"/>
        <v>1928231</v>
      </c>
      <c r="F1068" s="150">
        <f t="shared" si="190"/>
        <v>1995456</v>
      </c>
      <c r="G1068" s="150">
        <f t="shared" si="190"/>
        <v>1585756</v>
      </c>
      <c r="H1068" s="150">
        <f t="shared" si="190"/>
        <v>1861609</v>
      </c>
      <c r="I1068" s="150">
        <f t="shared" si="190"/>
        <v>1923718</v>
      </c>
      <c r="J1068" s="150">
        <f t="shared" si="190"/>
        <v>1989146</v>
      </c>
      <c r="K1068" s="150">
        <f t="shared" si="190"/>
        <v>2058559</v>
      </c>
    </row>
    <row r="1069" spans="2:12" s="569" customFormat="1" hidden="1">
      <c r="B1069" s="155"/>
      <c r="C1069" s="132">
        <f>'Budget Detail FY 2013-20'!L455+'Budget Detail FY 2013-20'!L462+'Budget Detail FY 2013-20'!L465+'Budget Detail FY 2013-20'!L466+'Budget Detail FY 2013-20'!L803+'Budget Detail FY 2013-20'!L892</f>
        <v>1953458</v>
      </c>
      <c r="D1069" s="132">
        <f>'Budget Detail FY 2013-20'!M455+'Budget Detail FY 2013-20'!M462+'Budget Detail FY 2013-20'!M465+'Budget Detail FY 2013-20'!M466+'Budget Detail FY 2013-20'!M803+'Budget Detail FY 2013-20'!M892</f>
        <v>2876518</v>
      </c>
      <c r="E1069" s="132">
        <f>'Budget Detail FY 2013-20'!N455+'Budget Detail FY 2013-20'!N462+'Budget Detail FY 2013-20'!N465+'Budget Detail FY 2013-20'!N466+'Budget Detail FY 2013-20'!N803+'Budget Detail FY 2013-20'!N892</f>
        <v>1928231</v>
      </c>
      <c r="F1069" s="132">
        <f>'Budget Detail FY 2013-20'!O455+'Budget Detail FY 2013-20'!O462+'Budget Detail FY 2013-20'!O465+'Budget Detail FY 2013-20'!O466+'Budget Detail FY 2013-20'!O803+'Budget Detail FY 2013-20'!O892</f>
        <v>1995456</v>
      </c>
      <c r="G1069" s="132">
        <f>'Budget Detail FY 2013-20'!P455+'Budget Detail FY 2013-20'!P462+'Budget Detail FY 2013-20'!P465+'Budget Detail FY 2013-20'!P466+'Budget Detail FY 2013-20'!P803+'Budget Detail FY 2013-20'!P892</f>
        <v>1585756</v>
      </c>
      <c r="H1069" s="132">
        <f>'Budget Detail FY 2013-20'!Q455+'Budget Detail FY 2013-20'!Q462+'Budget Detail FY 2013-20'!Q465+'Budget Detail FY 2013-20'!Q466+'Budget Detail FY 2013-20'!Q803+'Budget Detail FY 2013-20'!Q892</f>
        <v>1861609</v>
      </c>
      <c r="I1069" s="132">
        <f>'Budget Detail FY 2013-20'!R455+'Budget Detail FY 2013-20'!R462+'Budget Detail FY 2013-20'!R465+'Budget Detail FY 2013-20'!R466+'Budget Detail FY 2013-20'!R803+'Budget Detail FY 2013-20'!R892</f>
        <v>1923718</v>
      </c>
      <c r="J1069" s="132">
        <f>'Budget Detail FY 2013-20'!S455+'Budget Detail FY 2013-20'!S462+'Budget Detail FY 2013-20'!S465+'Budget Detail FY 2013-20'!S466+'Budget Detail FY 2013-20'!S803+'Budget Detail FY 2013-20'!S892</f>
        <v>1989146</v>
      </c>
      <c r="K1069" s="132">
        <f>'Budget Detail FY 2013-20'!T455+'Budget Detail FY 2013-20'!T462+'Budget Detail FY 2013-20'!T465+'Budget Detail FY 2013-20'!T466+'Budget Detail FY 2013-20'!T803+'Budget Detail FY 2013-20'!T892</f>
        <v>2058559</v>
      </c>
      <c r="L1069" s="571" t="s">
        <v>1150</v>
      </c>
    </row>
    <row r="1070" spans="2:12" s="570" customFormat="1" hidden="1">
      <c r="B1070" s="157"/>
      <c r="C1070" s="163">
        <f>C1068-C1069</f>
        <v>0</v>
      </c>
      <c r="D1070" s="163">
        <f t="shared" ref="D1070:K1070" si="191">D1068-D1069</f>
        <v>0</v>
      </c>
      <c r="E1070" s="163">
        <f t="shared" si="191"/>
        <v>0</v>
      </c>
      <c r="F1070" s="163">
        <f t="shared" si="191"/>
        <v>0</v>
      </c>
      <c r="G1070" s="163">
        <f t="shared" si="191"/>
        <v>0</v>
      </c>
      <c r="H1070" s="163">
        <f t="shared" si="191"/>
        <v>0</v>
      </c>
      <c r="I1070" s="163">
        <f t="shared" si="191"/>
        <v>0</v>
      </c>
      <c r="J1070" s="163">
        <f t="shared" si="191"/>
        <v>0</v>
      </c>
      <c r="K1070" s="163">
        <f t="shared" si="191"/>
        <v>0</v>
      </c>
      <c r="L1070" s="571" t="s">
        <v>1151</v>
      </c>
    </row>
    <row r="1071" spans="2:12" ht="7.5" customHeight="1">
      <c r="B1071" s="1"/>
      <c r="C1071" s="2"/>
      <c r="D1071" s="2"/>
      <c r="E1071" s="2"/>
      <c r="F1071" s="2"/>
      <c r="G1071" s="2"/>
      <c r="H1071" s="2"/>
      <c r="I1071" s="2"/>
      <c r="J1071" s="2"/>
      <c r="K1071" s="2"/>
    </row>
    <row r="1072" spans="2:12">
      <c r="B1072" s="158" t="s">
        <v>598</v>
      </c>
      <c r="C1072" s="2"/>
      <c r="D1072" s="2"/>
      <c r="E1072" s="2"/>
      <c r="F1072" s="2"/>
      <c r="G1072" s="2"/>
      <c r="H1072" s="2"/>
      <c r="I1072" s="2"/>
      <c r="J1072" s="2"/>
      <c r="K1072" s="2"/>
    </row>
    <row r="1073" spans="2:12" ht="20.100000000000001" customHeight="1">
      <c r="B1073" s="508" t="s">
        <v>844</v>
      </c>
      <c r="C1073" s="2">
        <f t="shared" ref="C1073:K1073" si="192">C605+C656</f>
        <v>840987</v>
      </c>
      <c r="D1073" s="2">
        <f t="shared" si="192"/>
        <v>727937</v>
      </c>
      <c r="E1073" s="2">
        <f t="shared" si="192"/>
        <v>840647</v>
      </c>
      <c r="F1073" s="2">
        <f t="shared" si="192"/>
        <v>793864</v>
      </c>
      <c r="G1073" s="2">
        <f t="shared" si="192"/>
        <v>863762</v>
      </c>
      <c r="H1073" s="2">
        <f t="shared" si="192"/>
        <v>889678</v>
      </c>
      <c r="I1073" s="2">
        <f t="shared" si="192"/>
        <v>916501</v>
      </c>
      <c r="J1073" s="2">
        <f t="shared" si="192"/>
        <v>944263</v>
      </c>
      <c r="K1073" s="2">
        <f t="shared" si="192"/>
        <v>972997</v>
      </c>
    </row>
    <row r="1074" spans="2:12" ht="20.100000000000001" customHeight="1">
      <c r="B1074" s="508" t="s">
        <v>845</v>
      </c>
      <c r="C1074" s="2">
        <f t="shared" ref="C1074:K1074" si="193">C606+C657</f>
        <v>307286</v>
      </c>
      <c r="D1074" s="2">
        <f t="shared" si="193"/>
        <v>314319</v>
      </c>
      <c r="E1074" s="2">
        <f t="shared" si="193"/>
        <v>397762</v>
      </c>
      <c r="F1074" s="2">
        <f t="shared" si="193"/>
        <v>397762</v>
      </c>
      <c r="G1074" s="2">
        <f t="shared" si="193"/>
        <v>382912</v>
      </c>
      <c r="H1074" s="2">
        <f t="shared" si="193"/>
        <v>411602</v>
      </c>
      <c r="I1074" s="2">
        <f t="shared" si="193"/>
        <v>442432</v>
      </c>
      <c r="J1074" s="2">
        <f t="shared" si="193"/>
        <v>475799</v>
      </c>
      <c r="K1074" s="2">
        <f t="shared" si="193"/>
        <v>511898</v>
      </c>
    </row>
    <row r="1075" spans="2:12" ht="20.100000000000001" customHeight="1">
      <c r="B1075" s="508" t="s">
        <v>846</v>
      </c>
      <c r="C1075" s="2">
        <f>C607+C658+C333</f>
        <v>520056</v>
      </c>
      <c r="D1075" s="2">
        <f t="shared" ref="D1075:K1075" si="194">D607+D658+D333</f>
        <v>426439</v>
      </c>
      <c r="E1075" s="2">
        <f t="shared" si="194"/>
        <v>374430</v>
      </c>
      <c r="F1075" s="2">
        <f t="shared" si="194"/>
        <v>371112</v>
      </c>
      <c r="G1075" s="2">
        <f t="shared" si="194"/>
        <v>234780</v>
      </c>
      <c r="H1075" s="2">
        <f t="shared" si="194"/>
        <v>232980</v>
      </c>
      <c r="I1075" s="2">
        <f t="shared" si="194"/>
        <v>234252</v>
      </c>
      <c r="J1075" s="2">
        <f t="shared" si="194"/>
        <v>235600</v>
      </c>
      <c r="K1075" s="2">
        <f t="shared" si="194"/>
        <v>237029</v>
      </c>
    </row>
    <row r="1076" spans="2:12" ht="20.100000000000001" customHeight="1">
      <c r="B1076" s="508" t="s">
        <v>847</v>
      </c>
      <c r="C1076" s="2">
        <f t="shared" ref="C1076:K1076" si="195">C608+C659</f>
        <v>321431</v>
      </c>
      <c r="D1076" s="2">
        <f>D608+D659</f>
        <v>340952</v>
      </c>
      <c r="E1076" s="2">
        <f t="shared" si="195"/>
        <v>298608</v>
      </c>
      <c r="F1076" s="2">
        <f t="shared" si="195"/>
        <v>288608</v>
      </c>
      <c r="G1076" s="2">
        <f t="shared" si="195"/>
        <v>314486</v>
      </c>
      <c r="H1076" s="2">
        <f t="shared" si="195"/>
        <v>316588</v>
      </c>
      <c r="I1076" s="2">
        <f t="shared" si="195"/>
        <v>318832</v>
      </c>
      <c r="J1076" s="2">
        <f t="shared" si="195"/>
        <v>321228</v>
      </c>
      <c r="K1076" s="2">
        <f t="shared" si="195"/>
        <v>323787</v>
      </c>
    </row>
    <row r="1077" spans="2:12" ht="20.100000000000001" customHeight="1">
      <c r="B1077" s="508" t="s">
        <v>848</v>
      </c>
      <c r="C1077" s="2">
        <f>C334</f>
        <v>17284</v>
      </c>
      <c r="D1077" s="2">
        <f t="shared" ref="D1077:K1077" si="196">D334</f>
        <v>12143</v>
      </c>
      <c r="E1077" s="2">
        <f t="shared" si="196"/>
        <v>140000</v>
      </c>
      <c r="F1077" s="2">
        <f t="shared" si="196"/>
        <v>113950</v>
      </c>
      <c r="G1077" s="2">
        <f t="shared" si="196"/>
        <v>127929</v>
      </c>
      <c r="H1077" s="2">
        <f t="shared" si="196"/>
        <v>0</v>
      </c>
      <c r="I1077" s="2">
        <f t="shared" si="196"/>
        <v>0</v>
      </c>
      <c r="J1077" s="2">
        <f t="shared" si="196"/>
        <v>0</v>
      </c>
      <c r="K1077" s="2">
        <f t="shared" si="196"/>
        <v>0</v>
      </c>
    </row>
    <row r="1078" spans="2:12" ht="20.100000000000001" customHeight="1">
      <c r="B1078" s="509" t="s">
        <v>772</v>
      </c>
      <c r="C1078" s="2">
        <f>C335</f>
        <v>0</v>
      </c>
      <c r="D1078" s="2">
        <f t="shared" ref="D1078:K1078" si="197">D335</f>
        <v>2383</v>
      </c>
      <c r="E1078" s="2">
        <f t="shared" si="197"/>
        <v>2219</v>
      </c>
      <c r="F1078" s="2">
        <f t="shared" si="197"/>
        <v>2219</v>
      </c>
      <c r="G1078" s="2">
        <f t="shared" si="197"/>
        <v>2219</v>
      </c>
      <c r="H1078" s="2">
        <f t="shared" si="197"/>
        <v>2219</v>
      </c>
      <c r="I1078" s="2">
        <f t="shared" si="197"/>
        <v>2219</v>
      </c>
      <c r="J1078" s="2">
        <f t="shared" si="197"/>
        <v>2219</v>
      </c>
      <c r="K1078" s="2">
        <f t="shared" si="197"/>
        <v>2219</v>
      </c>
    </row>
    <row r="1079" spans="2:12" ht="20.100000000000001" customHeight="1">
      <c r="B1079" s="509" t="s">
        <v>850</v>
      </c>
      <c r="C1079" s="2">
        <f t="shared" ref="C1079:K1079" si="198">C336+C609</f>
        <v>2500</v>
      </c>
      <c r="D1079" s="2">
        <f t="shared" si="198"/>
        <v>539043</v>
      </c>
      <c r="E1079" s="2">
        <f t="shared" si="198"/>
        <v>50000</v>
      </c>
      <c r="F1079" s="2">
        <f t="shared" si="198"/>
        <v>0</v>
      </c>
      <c r="G1079" s="2">
        <f t="shared" si="198"/>
        <v>0</v>
      </c>
      <c r="H1079" s="2">
        <f t="shared" si="198"/>
        <v>0</v>
      </c>
      <c r="I1079" s="2">
        <f t="shared" si="198"/>
        <v>0</v>
      </c>
      <c r="J1079" s="2">
        <f t="shared" si="198"/>
        <v>0</v>
      </c>
      <c r="K1079" s="2">
        <f t="shared" si="198"/>
        <v>0</v>
      </c>
    </row>
    <row r="1080" spans="2:12" ht="20.100000000000001" customHeight="1" thickBot="1">
      <c r="B1080" s="153" t="s">
        <v>851</v>
      </c>
      <c r="C1080" s="150">
        <f>SUM(C1073:C1079)</f>
        <v>2009544</v>
      </c>
      <c r="D1080" s="150">
        <f t="shared" ref="D1080:K1080" si="199">SUM(D1073:D1079)</f>
        <v>2363216</v>
      </c>
      <c r="E1080" s="150">
        <f t="shared" si="199"/>
        <v>2103666</v>
      </c>
      <c r="F1080" s="150">
        <f t="shared" si="199"/>
        <v>1967515</v>
      </c>
      <c r="G1080" s="150">
        <f t="shared" si="199"/>
        <v>1926088</v>
      </c>
      <c r="H1080" s="150">
        <f t="shared" si="199"/>
        <v>1853067</v>
      </c>
      <c r="I1080" s="150">
        <f t="shared" si="199"/>
        <v>1914236</v>
      </c>
      <c r="J1080" s="150">
        <f t="shared" si="199"/>
        <v>1979109</v>
      </c>
      <c r="K1080" s="150">
        <f t="shared" si="199"/>
        <v>2047930</v>
      </c>
    </row>
    <row r="1081" spans="2:12" s="569" customFormat="1" hidden="1">
      <c r="B1081" s="155"/>
      <c r="C1081" s="132">
        <f>'Budget Detail FY 2013-20'!L507+'Budget Detail FY 2013-20'!L870+'Budget Detail FY 2013-20'!L918</f>
        <v>2009544</v>
      </c>
      <c r="D1081" s="132">
        <f>'Budget Detail FY 2013-20'!M507+'Budget Detail FY 2013-20'!M870+'Budget Detail FY 2013-20'!M918</f>
        <v>2363216</v>
      </c>
      <c r="E1081" s="132">
        <f>'Budget Detail FY 2013-20'!N507+'Budget Detail FY 2013-20'!N870+'Budget Detail FY 2013-20'!N918</f>
        <v>2103666</v>
      </c>
      <c r="F1081" s="132">
        <f>'Budget Detail FY 2013-20'!O507+'Budget Detail FY 2013-20'!O870+'Budget Detail FY 2013-20'!O918</f>
        <v>1967515</v>
      </c>
      <c r="G1081" s="132">
        <f>'Budget Detail FY 2013-20'!P507+'Budget Detail FY 2013-20'!P870+'Budget Detail FY 2013-20'!P918</f>
        <v>1926088</v>
      </c>
      <c r="H1081" s="132">
        <f>'Budget Detail FY 2013-20'!Q507+'Budget Detail FY 2013-20'!Q870+'Budget Detail FY 2013-20'!Q918</f>
        <v>1853067</v>
      </c>
      <c r="I1081" s="132">
        <f>'Budget Detail FY 2013-20'!R507+'Budget Detail FY 2013-20'!R870+'Budget Detail FY 2013-20'!R918</f>
        <v>1914236</v>
      </c>
      <c r="J1081" s="132">
        <f>'Budget Detail FY 2013-20'!S507+'Budget Detail FY 2013-20'!S870+'Budget Detail FY 2013-20'!S918</f>
        <v>1979109</v>
      </c>
      <c r="K1081" s="132">
        <f>'Budget Detail FY 2013-20'!T507+'Budget Detail FY 2013-20'!T870+'Budget Detail FY 2013-20'!T918</f>
        <v>2047930</v>
      </c>
      <c r="L1081" s="571" t="s">
        <v>1150</v>
      </c>
    </row>
    <row r="1082" spans="2:12" s="570" customFormat="1" hidden="1">
      <c r="B1082" s="157"/>
      <c r="C1082" s="163">
        <f>C1080-C1081</f>
        <v>0</v>
      </c>
      <c r="D1082" s="163">
        <f t="shared" ref="D1082:K1082" si="200">D1080-D1081</f>
        <v>0</v>
      </c>
      <c r="E1082" s="163">
        <f t="shared" si="200"/>
        <v>0</v>
      </c>
      <c r="F1082" s="163">
        <f t="shared" si="200"/>
        <v>0</v>
      </c>
      <c r="G1082" s="163">
        <f t="shared" si="200"/>
        <v>0</v>
      </c>
      <c r="H1082" s="163">
        <f t="shared" si="200"/>
        <v>0</v>
      </c>
      <c r="I1082" s="163">
        <f t="shared" si="200"/>
        <v>0</v>
      </c>
      <c r="J1082" s="163">
        <f t="shared" si="200"/>
        <v>0</v>
      </c>
      <c r="K1082" s="163">
        <f t="shared" si="200"/>
        <v>0</v>
      </c>
      <c r="L1082" s="571" t="s">
        <v>1151</v>
      </c>
    </row>
    <row r="1083" spans="2:12" ht="7.5" customHeight="1">
      <c r="B1083" s="160"/>
      <c r="C1083" s="3"/>
      <c r="D1083" s="2"/>
      <c r="E1083" s="2"/>
      <c r="F1083" s="2"/>
      <c r="G1083" s="2"/>
      <c r="H1083" s="2"/>
      <c r="I1083" s="2"/>
      <c r="J1083" s="2"/>
      <c r="K1083" s="2"/>
    </row>
    <row r="1084" spans="2:12" ht="20.100000000000001" customHeight="1">
      <c r="B1084" s="510" t="s">
        <v>852</v>
      </c>
      <c r="C1084" s="3">
        <f t="shared" ref="C1084:K1084" si="201">+C1068-C1080</f>
        <v>-56086</v>
      </c>
      <c r="D1084" s="3">
        <f t="shared" si="201"/>
        <v>513302</v>
      </c>
      <c r="E1084" s="3">
        <f t="shared" si="201"/>
        <v>-175435</v>
      </c>
      <c r="F1084" s="3">
        <f t="shared" si="201"/>
        <v>27941</v>
      </c>
      <c r="G1084" s="3">
        <f t="shared" si="201"/>
        <v>-340332</v>
      </c>
      <c r="H1084" s="3">
        <f t="shared" si="201"/>
        <v>8542</v>
      </c>
      <c r="I1084" s="3">
        <f t="shared" si="201"/>
        <v>9482</v>
      </c>
      <c r="J1084" s="3">
        <f t="shared" si="201"/>
        <v>10037</v>
      </c>
      <c r="K1084" s="3">
        <f t="shared" si="201"/>
        <v>10629</v>
      </c>
    </row>
    <row r="1085" spans="2:12" s="569" customFormat="1" hidden="1">
      <c r="B1085" s="161"/>
      <c r="C1085" s="132">
        <f>('Budget Detail FY 2013-20'!L455+'Budget Detail FY 2013-20'!L462+'Budget Detail FY 2013-20'!L465+'Budget Detail FY 2013-20'!L466-'Budget Detail FY 2013-20'!L507)+'Budget Detail FY 2013-20'!L872+'Budget Detail FY 2013-20'!L920</f>
        <v>-56086</v>
      </c>
      <c r="D1085" s="132">
        <f>('Budget Detail FY 2013-20'!M455+'Budget Detail FY 2013-20'!M462+'Budget Detail FY 2013-20'!M465+'Budget Detail FY 2013-20'!M466-'Budget Detail FY 2013-20'!M507)+'Budget Detail FY 2013-20'!M872+'Budget Detail FY 2013-20'!M920</f>
        <v>513302</v>
      </c>
      <c r="E1085" s="132">
        <f>('Budget Detail FY 2013-20'!N455+'Budget Detail FY 2013-20'!N462+'Budget Detail FY 2013-20'!N465+'Budget Detail FY 2013-20'!N466-'Budget Detail FY 2013-20'!N507)+'Budget Detail FY 2013-20'!N872+'Budget Detail FY 2013-20'!N920</f>
        <v>-175435</v>
      </c>
      <c r="F1085" s="132">
        <f>('Budget Detail FY 2013-20'!O455+'Budget Detail FY 2013-20'!O462+'Budget Detail FY 2013-20'!O465+'Budget Detail FY 2013-20'!O466-'Budget Detail FY 2013-20'!O507)+'Budget Detail FY 2013-20'!O872+'Budget Detail FY 2013-20'!O920</f>
        <v>27941</v>
      </c>
      <c r="G1085" s="132">
        <f>('Budget Detail FY 2013-20'!P455+'Budget Detail FY 2013-20'!P462+'Budget Detail FY 2013-20'!P465+'Budget Detail FY 2013-20'!P466-'Budget Detail FY 2013-20'!P507)+'Budget Detail FY 2013-20'!P872+'Budget Detail FY 2013-20'!P920</f>
        <v>-340332</v>
      </c>
      <c r="H1085" s="132">
        <f>('Budget Detail FY 2013-20'!Q455+'Budget Detail FY 2013-20'!Q462+'Budget Detail FY 2013-20'!Q465+'Budget Detail FY 2013-20'!Q466-'Budget Detail FY 2013-20'!Q507)+'Budget Detail FY 2013-20'!Q872+'Budget Detail FY 2013-20'!Q920</f>
        <v>8542</v>
      </c>
      <c r="I1085" s="132">
        <f>('Budget Detail FY 2013-20'!R455+'Budget Detail FY 2013-20'!R462+'Budget Detail FY 2013-20'!R465+'Budget Detail FY 2013-20'!R466-'Budget Detail FY 2013-20'!R507)+'Budget Detail FY 2013-20'!R872+'Budget Detail FY 2013-20'!R920</f>
        <v>9482</v>
      </c>
      <c r="J1085" s="132">
        <f>('Budget Detail FY 2013-20'!S455+'Budget Detail FY 2013-20'!S462+'Budget Detail FY 2013-20'!S465+'Budget Detail FY 2013-20'!S466-'Budget Detail FY 2013-20'!S507)+'Budget Detail FY 2013-20'!S872+'Budget Detail FY 2013-20'!S920</f>
        <v>10037</v>
      </c>
      <c r="K1085" s="132">
        <f>('Budget Detail FY 2013-20'!T455+'Budget Detail FY 2013-20'!T462+'Budget Detail FY 2013-20'!T465+'Budget Detail FY 2013-20'!T466-'Budget Detail FY 2013-20'!T507)+'Budget Detail FY 2013-20'!T872+'Budget Detail FY 2013-20'!T920</f>
        <v>10629</v>
      </c>
      <c r="L1085" s="571" t="s">
        <v>1150</v>
      </c>
    </row>
    <row r="1086" spans="2:12" s="570" customFormat="1" hidden="1">
      <c r="B1086" s="162"/>
      <c r="C1086" s="171">
        <f>C1084-C1085</f>
        <v>0</v>
      </c>
      <c r="D1086" s="171">
        <f t="shared" ref="D1086:K1086" si="202">D1084-D1085</f>
        <v>0</v>
      </c>
      <c r="E1086" s="171">
        <f t="shared" si="202"/>
        <v>0</v>
      </c>
      <c r="F1086" s="171">
        <f t="shared" si="202"/>
        <v>0</v>
      </c>
      <c r="G1086" s="171">
        <f t="shared" si="202"/>
        <v>0</v>
      </c>
      <c r="H1086" s="171">
        <f t="shared" si="202"/>
        <v>0</v>
      </c>
      <c r="I1086" s="171">
        <f t="shared" si="202"/>
        <v>0</v>
      </c>
      <c r="J1086" s="171">
        <f t="shared" si="202"/>
        <v>0</v>
      </c>
      <c r="K1086" s="171">
        <f t="shared" si="202"/>
        <v>0</v>
      </c>
      <c r="L1086" s="571" t="s">
        <v>1151</v>
      </c>
    </row>
    <row r="1087" spans="2:12" ht="7.5" customHeight="1">
      <c r="B1087" s="164"/>
      <c r="C1087" s="3"/>
      <c r="D1087" s="2"/>
      <c r="E1087" s="2"/>
      <c r="F1087" s="2"/>
      <c r="G1087" s="2"/>
      <c r="H1087" s="2"/>
      <c r="I1087" s="2"/>
      <c r="J1087" s="2"/>
      <c r="K1087" s="2"/>
    </row>
    <row r="1088" spans="2:12" ht="20.100000000000001" customHeight="1" thickBot="1">
      <c r="B1088" s="152" t="s">
        <v>853</v>
      </c>
      <c r="C1088" s="83">
        <v>66452</v>
      </c>
      <c r="D1088" s="83">
        <v>580558</v>
      </c>
      <c r="E1088" s="83">
        <v>286717</v>
      </c>
      <c r="F1088" s="83">
        <f>D1088+F1084</f>
        <v>608499</v>
      </c>
      <c r="G1088" s="83">
        <f>F1088+G1084</f>
        <v>268167</v>
      </c>
      <c r="H1088" s="83">
        <f>G1088+H1084</f>
        <v>276709</v>
      </c>
      <c r="I1088" s="83">
        <f>H1088+I1084</f>
        <v>286191</v>
      </c>
      <c r="J1088" s="83">
        <f>I1088+J1084</f>
        <v>296228</v>
      </c>
      <c r="K1088" s="83">
        <f>J1088+K1084</f>
        <v>306857</v>
      </c>
    </row>
    <row r="1089" spans="2:12" s="569" customFormat="1" ht="15.75" hidden="1" thickTop="1">
      <c r="B1089" s="155"/>
      <c r="C1089" s="132">
        <f>'Budget Detail FY 2013-20'!L1147</f>
        <v>66452</v>
      </c>
      <c r="D1089" s="132">
        <f>'Budget Detail FY 2013-20'!M1147</f>
        <v>580558</v>
      </c>
      <c r="E1089" s="132">
        <f>'Budget Detail FY 2013-20'!N1147</f>
        <v>286717</v>
      </c>
      <c r="F1089" s="132">
        <f>'Budget Detail FY 2013-20'!O1147</f>
        <v>608499</v>
      </c>
      <c r="G1089" s="132">
        <f>'Budget Detail FY 2013-20'!P1147</f>
        <v>268167</v>
      </c>
      <c r="H1089" s="132">
        <f>'Budget Detail FY 2013-20'!Q1147</f>
        <v>276709</v>
      </c>
      <c r="I1089" s="132">
        <f>'Budget Detail FY 2013-20'!R1147</f>
        <v>286191</v>
      </c>
      <c r="J1089" s="132">
        <f>'Budget Detail FY 2013-20'!S1147</f>
        <v>296228</v>
      </c>
      <c r="K1089" s="132">
        <f>'Budget Detail FY 2013-20'!T1147</f>
        <v>306857</v>
      </c>
      <c r="L1089" s="571" t="s">
        <v>1150</v>
      </c>
    </row>
    <row r="1090" spans="2:12" s="570" customFormat="1" hidden="1">
      <c r="B1090" s="157"/>
      <c r="C1090" s="163">
        <f>C1088-('Budget Detail FY 2013-20'!L517+'Budget Detail FY 2013-20'!L874+'Budget Detail FY 2013-20'!L922)</f>
        <v>0</v>
      </c>
      <c r="D1090" s="163">
        <f>D1088-('Budget Detail FY 2013-20'!M517+'Budget Detail FY 2013-20'!M874+'Budget Detail FY 2013-20'!M922)</f>
        <v>0</v>
      </c>
      <c r="E1090" s="163">
        <f>E1088-('Budget Detail FY 2013-20'!N517+'Budget Detail FY 2013-20'!N874+'Budget Detail FY 2013-20'!N922)</f>
        <v>0</v>
      </c>
      <c r="F1090" s="163">
        <f>F1088-('Budget Detail FY 2013-20'!O517+'Budget Detail FY 2013-20'!O874+'Budget Detail FY 2013-20'!O922)</f>
        <v>0</v>
      </c>
      <c r="G1090" s="163">
        <f>G1088-('Budget Detail FY 2013-20'!P517+'Budget Detail FY 2013-20'!P874+'Budget Detail FY 2013-20'!P922)</f>
        <v>0</v>
      </c>
      <c r="H1090" s="163">
        <f>H1088-('Budget Detail FY 2013-20'!Q517+'Budget Detail FY 2013-20'!Q874+'Budget Detail FY 2013-20'!Q922)</f>
        <v>0</v>
      </c>
      <c r="I1090" s="163">
        <f>I1088-('Budget Detail FY 2013-20'!R517+'Budget Detail FY 2013-20'!R874+'Budget Detail FY 2013-20'!R922)</f>
        <v>0</v>
      </c>
      <c r="J1090" s="163">
        <f>J1088-('Budget Detail FY 2013-20'!S517+'Budget Detail FY 2013-20'!S874+'Budget Detail FY 2013-20'!S922)</f>
        <v>0</v>
      </c>
      <c r="K1090" s="163">
        <f>K1088-('Budget Detail FY 2013-20'!T517+'Budget Detail FY 2013-20'!T874+'Budget Detail FY 2013-20'!T922)</f>
        <v>0</v>
      </c>
      <c r="L1090" s="571" t="s">
        <v>1151</v>
      </c>
    </row>
    <row r="1091" spans="2:12" s="570" customFormat="1" hidden="1">
      <c r="B1091" s="157"/>
      <c r="C1091" s="163">
        <f t="shared" ref="C1091:K1091" si="203">C1088-C1089</f>
        <v>0</v>
      </c>
      <c r="D1091" s="163">
        <f t="shared" si="203"/>
        <v>0</v>
      </c>
      <c r="E1091" s="163">
        <f t="shared" si="203"/>
        <v>0</v>
      </c>
      <c r="F1091" s="163">
        <f t="shared" si="203"/>
        <v>0</v>
      </c>
      <c r="G1091" s="163">
        <f t="shared" si="203"/>
        <v>0</v>
      </c>
      <c r="H1091" s="163">
        <f t="shared" si="203"/>
        <v>0</v>
      </c>
      <c r="I1091" s="163">
        <f t="shared" si="203"/>
        <v>0</v>
      </c>
      <c r="J1091" s="163">
        <f t="shared" si="203"/>
        <v>0</v>
      </c>
      <c r="K1091" s="163">
        <f t="shared" si="203"/>
        <v>0</v>
      </c>
      <c r="L1091" s="571" t="s">
        <v>1236</v>
      </c>
    </row>
    <row r="1092" spans="2:12" ht="15.75" thickTop="1">
      <c r="B1092" s="165"/>
      <c r="C1092" s="172">
        <f>+C1088/C1080</f>
        <v>3.3068198556488439E-2</v>
      </c>
      <c r="D1092" s="172">
        <f t="shared" ref="D1092:K1092" si="204">+D1088/D1080</f>
        <v>0.24566438277330552</v>
      </c>
      <c r="E1092" s="172">
        <f t="shared" si="204"/>
        <v>0.13629397442369653</v>
      </c>
      <c r="F1092" s="172">
        <f t="shared" si="204"/>
        <v>0.30927286450166835</v>
      </c>
      <c r="G1092" s="172">
        <f t="shared" si="204"/>
        <v>0.13922884104983779</v>
      </c>
      <c r="H1092" s="172">
        <f t="shared" si="204"/>
        <v>0.14932487600286445</v>
      </c>
      <c r="I1092" s="172">
        <f t="shared" si="204"/>
        <v>0.14950664390388646</v>
      </c>
      <c r="J1092" s="172">
        <f t="shared" si="204"/>
        <v>0.14967745586524037</v>
      </c>
      <c r="K1092" s="172">
        <f t="shared" si="204"/>
        <v>0.14983764093499288</v>
      </c>
    </row>
    <row r="1093" spans="2:12">
      <c r="B1093" s="165"/>
      <c r="C1093" s="172"/>
      <c r="D1093" s="172"/>
      <c r="E1093" s="172"/>
      <c r="F1093" s="172"/>
      <c r="G1093" s="172"/>
      <c r="H1093" s="172"/>
      <c r="I1093" s="172"/>
      <c r="J1093" s="172"/>
      <c r="K1093" s="172"/>
    </row>
    <row r="1094" spans="2:12" ht="7.5" customHeight="1">
      <c r="B1094" s="165"/>
      <c r="C1094" s="2"/>
      <c r="D1094" s="2"/>
      <c r="E1094" s="2"/>
      <c r="F1094" s="2"/>
      <c r="G1094" s="2"/>
      <c r="H1094" s="2"/>
      <c r="I1094" s="2"/>
      <c r="J1094" s="2"/>
      <c r="K1094" s="2"/>
    </row>
    <row r="1095" spans="2:12">
      <c r="B1095" s="1"/>
      <c r="C1095" s="2"/>
      <c r="D1095" s="2"/>
      <c r="E1095" s="2"/>
      <c r="F1095" s="2"/>
      <c r="G1095" s="2"/>
      <c r="H1095" s="2"/>
      <c r="I1095" s="2"/>
      <c r="J1095" s="2"/>
      <c r="K1095" s="2"/>
    </row>
    <row r="1096" spans="2:12">
      <c r="B1096" s="1"/>
      <c r="C1096" s="2"/>
      <c r="D1096" s="2"/>
      <c r="E1096" s="2"/>
      <c r="F1096" s="2"/>
      <c r="G1096" s="2"/>
      <c r="H1096" s="2"/>
      <c r="I1096" s="2"/>
      <c r="J1096" s="2"/>
      <c r="K1096" s="2"/>
    </row>
    <row r="1097" spans="2:12">
      <c r="B1097" s="1"/>
      <c r="C1097" s="2"/>
      <c r="D1097" s="2"/>
      <c r="E1097" s="2"/>
      <c r="F1097" s="2"/>
      <c r="G1097" s="2"/>
      <c r="H1097" s="2"/>
      <c r="I1097" s="2"/>
      <c r="J1097" s="2"/>
      <c r="K1097" s="2"/>
    </row>
    <row r="1098" spans="2:12">
      <c r="B1098" s="1"/>
      <c r="C1098" s="2"/>
      <c r="D1098" s="2"/>
      <c r="E1098" s="2"/>
      <c r="F1098" s="2"/>
      <c r="G1098" s="2"/>
      <c r="H1098" s="2"/>
      <c r="I1098" s="2"/>
      <c r="J1098" s="2"/>
      <c r="K1098" s="2"/>
    </row>
    <row r="1099" spans="2:12">
      <c r="B1099" s="1"/>
      <c r="C1099" s="2"/>
      <c r="D1099" s="2"/>
      <c r="E1099" s="2"/>
      <c r="F1099" s="2"/>
      <c r="G1099" s="2"/>
      <c r="H1099" s="2"/>
      <c r="I1099" s="2"/>
      <c r="J1099" s="2"/>
      <c r="K1099" s="2"/>
    </row>
    <row r="1100" spans="2:12">
      <c r="B1100" s="1"/>
      <c r="C1100" s="2"/>
      <c r="D1100" s="2"/>
      <c r="E1100" s="2"/>
      <c r="F1100" s="2"/>
      <c r="G1100" s="2"/>
      <c r="H1100" s="2"/>
      <c r="I1100" s="2"/>
      <c r="J1100" s="2"/>
      <c r="K1100" s="2"/>
    </row>
    <row r="1101" spans="2:12">
      <c r="B1101" s="1"/>
      <c r="C1101" s="2"/>
      <c r="D1101" s="2"/>
      <c r="E1101" s="2"/>
      <c r="F1101" s="2"/>
      <c r="G1101" s="2"/>
      <c r="H1101" s="2"/>
      <c r="I1101" s="2"/>
      <c r="J1101" s="2"/>
      <c r="K1101" s="2"/>
    </row>
    <row r="1102" spans="2:12">
      <c r="B1102" s="1"/>
      <c r="C1102" s="2"/>
      <c r="D1102" s="2"/>
      <c r="E1102" s="2"/>
      <c r="F1102" s="2"/>
      <c r="G1102" s="2"/>
      <c r="H1102" s="2"/>
      <c r="I1102" s="2"/>
      <c r="J1102" s="2"/>
      <c r="K1102" s="2"/>
    </row>
    <row r="1103" spans="2:12">
      <c r="B1103" s="1"/>
      <c r="C1103" s="2"/>
      <c r="D1103" s="2"/>
      <c r="E1103" s="2"/>
      <c r="F1103" s="2"/>
      <c r="G1103" s="2"/>
      <c r="H1103" s="2"/>
      <c r="I1103" s="2"/>
      <c r="J1103" s="2"/>
      <c r="K1103" s="2"/>
    </row>
    <row r="1104" spans="2:12">
      <c r="B1104" s="1"/>
      <c r="C1104" s="2"/>
      <c r="D1104" s="2"/>
      <c r="E1104" s="2"/>
      <c r="F1104" s="2"/>
      <c r="G1104" s="2"/>
      <c r="H1104" s="2"/>
      <c r="I1104" s="2"/>
      <c r="J1104" s="2"/>
      <c r="K1104" s="2"/>
    </row>
    <row r="1105" spans="2:11">
      <c r="B1105" s="1"/>
      <c r="C1105" s="2"/>
      <c r="D1105" s="2"/>
      <c r="E1105" s="2"/>
      <c r="F1105" s="2"/>
      <c r="G1105" s="2"/>
      <c r="H1105" s="2"/>
      <c r="I1105" s="2"/>
      <c r="J1105" s="2"/>
      <c r="K1105" s="2"/>
    </row>
  </sheetData>
  <mergeCells count="42">
    <mergeCell ref="B886:K886"/>
    <mergeCell ref="B688:K688"/>
    <mergeCell ref="B690:K692"/>
    <mergeCell ref="B744:K744"/>
    <mergeCell ref="B746:K747"/>
    <mergeCell ref="B790:K790"/>
    <mergeCell ref="B792:K793"/>
    <mergeCell ref="B586:K589"/>
    <mergeCell ref="B637:K637"/>
    <mergeCell ref="B836:K836"/>
    <mergeCell ref="B838:K839"/>
    <mergeCell ref="B884:K884"/>
    <mergeCell ref="B639:K641"/>
    <mergeCell ref="B192:K193"/>
    <mergeCell ref="B295:K298"/>
    <mergeCell ref="B537:K539"/>
    <mergeCell ref="B584:K584"/>
    <mergeCell ref="B423:K423"/>
    <mergeCell ref="B425:K426"/>
    <mergeCell ref="B478:K478"/>
    <mergeCell ref="B480:K481"/>
    <mergeCell ref="B235:K236"/>
    <mergeCell ref="B377:K377"/>
    <mergeCell ref="B379:K380"/>
    <mergeCell ref="B535:K535"/>
    <mergeCell ref="B233:K233"/>
    <mergeCell ref="B293:K293"/>
    <mergeCell ref="B143:K143"/>
    <mergeCell ref="B145:K146"/>
    <mergeCell ref="B190:K190"/>
    <mergeCell ref="B102:K103"/>
    <mergeCell ref="B1:K1"/>
    <mergeCell ref="B3:K4"/>
    <mergeCell ref="B56:K56"/>
    <mergeCell ref="B58:K59"/>
    <mergeCell ref="B100:K100"/>
    <mergeCell ref="B1052:K1052"/>
    <mergeCell ref="B1054:K1057"/>
    <mergeCell ref="B930:K930"/>
    <mergeCell ref="B993:K993"/>
    <mergeCell ref="B995:K997"/>
    <mergeCell ref="B932:K935"/>
  </mergeCells>
  <printOptions horizontalCentered="1"/>
  <pageMargins left="0" right="0" top="0.5" bottom="0" header="0" footer="0"/>
  <pageSetup scale="78" orientation="landscape" r:id="rId1"/>
  <rowBreaks count="20" manualBreakCount="20">
    <brk id="54" max="16383" man="1"/>
    <brk id="98" max="16383" man="1"/>
    <brk id="141" max="16383" man="1"/>
    <brk id="188" max="10" man="1"/>
    <brk id="231" max="16383" man="1"/>
    <brk id="291" max="16383" man="1"/>
    <brk id="375" max="16383" man="1"/>
    <brk id="422" max="10" man="1"/>
    <brk id="477" max="10" man="1"/>
    <brk id="533" max="10" man="1"/>
    <brk id="582" max="16383" man="1"/>
    <brk id="635" max="16383" man="1"/>
    <brk id="686" max="10" man="1"/>
    <brk id="742" max="10" man="1"/>
    <brk id="788" max="16383" man="1"/>
    <brk id="834" max="16383" man="1"/>
    <brk id="882" max="16383" man="1"/>
    <brk id="929" max="10" man="1"/>
    <brk id="990" max="10" man="1"/>
    <brk id="1051" max="10" man="1"/>
  </rowBreaks>
  <drawing r:id="rId2"/>
</worksheet>
</file>

<file path=xl/worksheets/sheet8.xml><?xml version="1.0" encoding="utf-8"?>
<worksheet xmlns="http://schemas.openxmlformats.org/spreadsheetml/2006/main" xmlns:r="http://schemas.openxmlformats.org/officeDocument/2006/relationships">
  <sheetPr>
    <outlinePr summaryBelow="0" summaryRight="0"/>
    <pageSetUpPr autoPageBreaks="0"/>
  </sheetPr>
  <dimension ref="A1:BF1501"/>
  <sheetViews>
    <sheetView tabSelected="1" showOutlineSymbols="0" zoomScale="75" zoomScaleNormal="75" zoomScaleSheetLayoutView="70" workbookViewId="0">
      <pane ySplit="5" topLeftCell="A84" activePane="bottomLeft" state="frozen"/>
      <selection activeCell="K16" sqref="K16"/>
      <selection pane="bottomLeft" activeCell="T101" sqref="T101"/>
    </sheetView>
  </sheetViews>
  <sheetFormatPr defaultColWidth="6.85546875" defaultRowHeight="12.75" customHeight="1"/>
  <cols>
    <col min="1" max="1" width="20" style="253" customWidth="1"/>
    <col min="2" max="3" width="1.28515625" style="253" customWidth="1"/>
    <col min="4" max="4" width="6" style="253" customWidth="1"/>
    <col min="5" max="5" width="1.42578125" style="253" customWidth="1"/>
    <col min="6" max="6" width="7.42578125" style="253" customWidth="1"/>
    <col min="7" max="7" width="2.5703125" style="253" customWidth="1"/>
    <col min="8" max="8" width="1.140625" style="253" customWidth="1"/>
    <col min="9" max="9" width="3" style="253" customWidth="1"/>
    <col min="10" max="10" width="4" style="253" customWidth="1"/>
    <col min="11" max="11" width="21" style="253" customWidth="1"/>
    <col min="12" max="13" width="15.7109375" style="253" customWidth="1"/>
    <col min="14" max="15" width="15.7109375" style="181" customWidth="1"/>
    <col min="16" max="20" width="15.7109375" style="253" customWidth="1"/>
    <col min="21" max="21" width="4" style="251" customWidth="1"/>
    <col min="22" max="22" width="12.7109375" style="253" customWidth="1"/>
    <col min="23" max="23" width="16.85546875" style="253" customWidth="1"/>
    <col min="24" max="24" width="14.5703125" style="253" customWidth="1"/>
    <col min="25" max="25" width="14.28515625" style="253" customWidth="1"/>
    <col min="26" max="27" width="12.7109375" style="253" customWidth="1"/>
    <col min="28" max="28" width="14" style="253" customWidth="1"/>
    <col min="29" max="29" width="13.5703125" style="253" customWidth="1"/>
    <col min="30" max="45" width="10.7109375" style="253" customWidth="1"/>
    <col min="46" max="16384" width="6.85546875" style="253"/>
  </cols>
  <sheetData>
    <row r="1" spans="1:30" ht="24" customHeight="1">
      <c r="V1" s="697"/>
      <c r="W1" s="697"/>
      <c r="X1" s="697"/>
      <c r="Y1" s="768"/>
      <c r="Z1" s="768"/>
      <c r="AA1" s="768"/>
      <c r="AB1" s="768"/>
    </row>
    <row r="2" spans="1:30" ht="24" customHeight="1">
      <c r="V2" s="697"/>
      <c r="W2" s="697"/>
      <c r="X2" s="697"/>
    </row>
    <row r="3" spans="1:30" ht="24" customHeight="1">
      <c r="S3" s="251"/>
      <c r="T3" s="251"/>
      <c r="V3" s="268"/>
      <c r="W3" s="697"/>
      <c r="X3" s="697"/>
    </row>
    <row r="4" spans="1:30" ht="24" customHeight="1">
      <c r="A4" s="255"/>
      <c r="B4" s="255"/>
      <c r="C4" s="255"/>
      <c r="D4" s="255"/>
      <c r="E4" s="255"/>
      <c r="F4" s="255"/>
      <c r="G4" s="255"/>
      <c r="H4" s="255"/>
      <c r="I4" s="255"/>
      <c r="J4" s="255"/>
      <c r="K4" s="255"/>
      <c r="L4" s="256" t="s">
        <v>257</v>
      </c>
      <c r="M4" s="256" t="s">
        <v>258</v>
      </c>
      <c r="N4" s="257" t="s">
        <v>270</v>
      </c>
      <c r="O4" s="257" t="s">
        <v>270</v>
      </c>
      <c r="P4" s="256" t="s">
        <v>271</v>
      </c>
      <c r="Q4" s="256" t="s">
        <v>272</v>
      </c>
      <c r="R4" s="256" t="s">
        <v>996</v>
      </c>
      <c r="S4" s="256" t="s">
        <v>1101</v>
      </c>
      <c r="T4" s="256" t="s">
        <v>1136</v>
      </c>
      <c r="V4" s="676"/>
      <c r="W4" s="385"/>
      <c r="X4" s="385"/>
    </row>
    <row r="5" spans="1:30" ht="24" customHeight="1">
      <c r="A5" s="258" t="s">
        <v>1049</v>
      </c>
      <c r="B5" s="255"/>
      <c r="C5" s="255"/>
      <c r="D5" s="758" t="s">
        <v>0</v>
      </c>
      <c r="E5" s="758"/>
      <c r="F5" s="758"/>
      <c r="G5" s="255"/>
      <c r="H5" s="255"/>
      <c r="I5" s="255"/>
      <c r="J5" s="255"/>
      <c r="K5" s="255"/>
      <c r="L5" s="259" t="s">
        <v>1</v>
      </c>
      <c r="M5" s="259" t="s">
        <v>1</v>
      </c>
      <c r="N5" s="260" t="s">
        <v>787</v>
      </c>
      <c r="O5" s="260" t="s">
        <v>19</v>
      </c>
      <c r="P5" s="259" t="s">
        <v>832</v>
      </c>
      <c r="Q5" s="259" t="s">
        <v>19</v>
      </c>
      <c r="R5" s="259" t="s">
        <v>19</v>
      </c>
      <c r="S5" s="259" t="s">
        <v>19</v>
      </c>
      <c r="T5" s="259" t="s">
        <v>19</v>
      </c>
    </row>
    <row r="6" spans="1:30" ht="15" customHeight="1">
      <c r="A6" s="254"/>
      <c r="D6" s="254"/>
      <c r="E6" s="254"/>
      <c r="F6" s="254"/>
      <c r="L6" s="183"/>
      <c r="M6" s="183"/>
      <c r="N6" s="184"/>
      <c r="O6" s="184"/>
      <c r="P6" s="183"/>
      <c r="Q6" s="183"/>
      <c r="R6" s="183"/>
      <c r="S6" s="183"/>
      <c r="T6" s="183"/>
    </row>
    <row r="7" spans="1:30" ht="24" customHeight="1">
      <c r="A7" s="757" t="s">
        <v>612</v>
      </c>
      <c r="B7" s="757"/>
      <c r="C7" s="757"/>
      <c r="D7" s="757"/>
      <c r="E7" s="757"/>
      <c r="F7" s="757"/>
      <c r="G7" s="757"/>
      <c r="H7" s="757"/>
      <c r="I7" s="757"/>
      <c r="J7" s="757"/>
      <c r="K7" s="757"/>
      <c r="P7" s="692"/>
      <c r="Q7" s="241"/>
      <c r="R7" s="241"/>
      <c r="S7" s="241"/>
      <c r="T7" s="241"/>
    </row>
    <row r="8" spans="1:30" ht="15" customHeight="1">
      <c r="A8" s="319"/>
      <c r="B8" s="319"/>
      <c r="C8" s="319"/>
      <c r="D8" s="319"/>
      <c r="E8" s="319"/>
      <c r="F8" s="319"/>
      <c r="G8" s="319"/>
      <c r="H8" s="319"/>
      <c r="I8" s="319"/>
      <c r="J8" s="319"/>
      <c r="K8" s="319"/>
      <c r="Q8" s="203"/>
      <c r="R8" s="203"/>
      <c r="S8" s="203"/>
      <c r="T8" s="203"/>
      <c r="U8" s="543"/>
    </row>
    <row r="9" spans="1:30" ht="24" customHeight="1">
      <c r="A9" s="255" t="s">
        <v>20</v>
      </c>
      <c r="B9" s="255"/>
      <c r="C9" s="255"/>
      <c r="D9" s="418" t="s">
        <v>203</v>
      </c>
      <c r="E9" s="418"/>
      <c r="F9" s="418"/>
      <c r="G9" s="418"/>
      <c r="H9" s="418"/>
      <c r="I9" s="418"/>
      <c r="J9" s="418"/>
      <c r="K9" s="418"/>
      <c r="L9" s="262">
        <v>2276807</v>
      </c>
      <c r="M9" s="262">
        <v>2201759</v>
      </c>
      <c r="N9" s="186">
        <v>2334190</v>
      </c>
      <c r="O9" s="186">
        <v>2277087</v>
      </c>
      <c r="P9" s="185">
        <v>2288200</v>
      </c>
      <c r="Q9" s="185">
        <f>ROUND(P9*1.02,0)</f>
        <v>2333964</v>
      </c>
      <c r="R9" s="185">
        <f>ROUND(Q9*1.02,0)-130000</f>
        <v>2250643</v>
      </c>
      <c r="S9" s="185">
        <f>ROUND(R9*1.02,0)-88000</f>
        <v>2207656</v>
      </c>
      <c r="T9" s="185">
        <f>ROUND(S9*1.02,0)</f>
        <v>2251809</v>
      </c>
      <c r="V9" s="545"/>
      <c r="W9" s="487"/>
    </row>
    <row r="10" spans="1:30" ht="24" customHeight="1">
      <c r="A10" s="255" t="s">
        <v>205</v>
      </c>
      <c r="B10" s="255"/>
      <c r="C10" s="255"/>
      <c r="D10" s="255" t="s">
        <v>204</v>
      </c>
      <c r="E10" s="255"/>
      <c r="F10" s="255"/>
      <c r="G10" s="255"/>
      <c r="H10" s="255"/>
      <c r="I10" s="255"/>
      <c r="J10" s="255"/>
      <c r="K10" s="255"/>
      <c r="L10" s="264">
        <v>438711</v>
      </c>
      <c r="M10" s="264">
        <v>524120</v>
      </c>
      <c r="N10" s="189">
        <v>614005</v>
      </c>
      <c r="O10" s="186">
        <v>624168</v>
      </c>
      <c r="P10" s="188">
        <v>728477</v>
      </c>
      <c r="Q10" s="188">
        <f>P10+50000</f>
        <v>778477</v>
      </c>
      <c r="R10" s="188">
        <f t="shared" ref="R10:T10" si="0">Q10+50000</f>
        <v>828477</v>
      </c>
      <c r="S10" s="188">
        <f t="shared" si="0"/>
        <v>878477</v>
      </c>
      <c r="T10" s="188">
        <f t="shared" si="0"/>
        <v>928477</v>
      </c>
      <c r="V10" s="545"/>
      <c r="W10" s="487"/>
    </row>
    <row r="11" spans="1:30" ht="24" customHeight="1">
      <c r="A11" s="320" t="s">
        <v>22</v>
      </c>
      <c r="B11" s="255"/>
      <c r="C11" s="255"/>
      <c r="D11" s="532" t="s">
        <v>21</v>
      </c>
      <c r="E11" s="454"/>
      <c r="F11" s="454"/>
      <c r="G11" s="454"/>
      <c r="H11" s="454"/>
      <c r="I11" s="454"/>
      <c r="J11" s="454"/>
      <c r="K11" s="454"/>
      <c r="L11" s="264">
        <v>2490503</v>
      </c>
      <c r="M11" s="264">
        <v>2586460</v>
      </c>
      <c r="N11" s="189">
        <v>2626000</v>
      </c>
      <c r="O11" s="189">
        <v>2698000</v>
      </c>
      <c r="P11" s="188">
        <f>ROUND(O11*1.02,0)</f>
        <v>2751960</v>
      </c>
      <c r="Q11" s="188">
        <f t="shared" ref="Q11:T11" si="1">ROUND(N11*1.02,0)</f>
        <v>2678520</v>
      </c>
      <c r="R11" s="188">
        <f t="shared" si="1"/>
        <v>2751960</v>
      </c>
      <c r="S11" s="188">
        <f t="shared" si="1"/>
        <v>2806999</v>
      </c>
      <c r="T11" s="188">
        <f t="shared" si="1"/>
        <v>2732090</v>
      </c>
      <c r="V11" s="545"/>
    </row>
    <row r="12" spans="1:30" ht="24" customHeight="1">
      <c r="A12" s="320" t="s">
        <v>275</v>
      </c>
      <c r="B12" s="255"/>
      <c r="C12" s="255"/>
      <c r="D12" s="532" t="s">
        <v>682</v>
      </c>
      <c r="E12" s="454"/>
      <c r="F12" s="454"/>
      <c r="G12" s="454"/>
      <c r="H12" s="454"/>
      <c r="I12" s="454"/>
      <c r="J12" s="454"/>
      <c r="K12" s="454"/>
      <c r="L12" s="264">
        <v>1919423</v>
      </c>
      <c r="M12" s="264">
        <v>1986566</v>
      </c>
      <c r="N12" s="189">
        <v>2020000</v>
      </c>
      <c r="O12" s="189">
        <v>2100000</v>
      </c>
      <c r="P12" s="188">
        <f>ROUND(O12*1.02,0)</f>
        <v>2142000</v>
      </c>
      <c r="Q12" s="188">
        <f t="shared" ref="Q12:T12" si="2">ROUND(P12*1.02,0)</f>
        <v>2184840</v>
      </c>
      <c r="R12" s="188">
        <f t="shared" si="2"/>
        <v>2228537</v>
      </c>
      <c r="S12" s="188">
        <f t="shared" si="2"/>
        <v>2273108</v>
      </c>
      <c r="T12" s="188">
        <f t="shared" si="2"/>
        <v>2318570</v>
      </c>
      <c r="V12" s="545"/>
    </row>
    <row r="13" spans="1:30" ht="24" customHeight="1">
      <c r="A13" s="320" t="s">
        <v>23</v>
      </c>
      <c r="B13" s="255"/>
      <c r="C13" s="255"/>
      <c r="D13" s="320" t="s">
        <v>2</v>
      </c>
      <c r="E13" s="625"/>
      <c r="F13" s="625"/>
      <c r="G13" s="625"/>
      <c r="H13" s="625"/>
      <c r="I13" s="625"/>
      <c r="J13" s="625"/>
      <c r="K13" s="625"/>
      <c r="L13" s="264">
        <v>600182</v>
      </c>
      <c r="M13" s="264">
        <v>615878</v>
      </c>
      <c r="N13" s="189">
        <v>605000</v>
      </c>
      <c r="O13" s="189">
        <v>605000</v>
      </c>
      <c r="P13" s="188">
        <v>605000</v>
      </c>
      <c r="Q13" s="188">
        <v>605000</v>
      </c>
      <c r="R13" s="188">
        <v>605000</v>
      </c>
      <c r="S13" s="188">
        <v>605000</v>
      </c>
      <c r="T13" s="188">
        <v>605000</v>
      </c>
      <c r="V13" s="545"/>
    </row>
    <row r="14" spans="1:30" ht="24" customHeight="1">
      <c r="A14" s="320" t="s">
        <v>24</v>
      </c>
      <c r="B14" s="255"/>
      <c r="C14" s="255"/>
      <c r="D14" s="320" t="s">
        <v>36</v>
      </c>
      <c r="E14" s="626"/>
      <c r="F14" s="626"/>
      <c r="G14" s="626"/>
      <c r="H14" s="626"/>
      <c r="I14" s="626"/>
      <c r="J14" s="626"/>
      <c r="K14" s="626"/>
      <c r="L14" s="264">
        <v>235790</v>
      </c>
      <c r="M14" s="264">
        <v>310979</v>
      </c>
      <c r="N14" s="189">
        <v>255000</v>
      </c>
      <c r="O14" s="189">
        <v>265000</v>
      </c>
      <c r="P14" s="188">
        <v>265000</v>
      </c>
      <c r="Q14" s="188">
        <v>265000</v>
      </c>
      <c r="R14" s="188">
        <v>265000</v>
      </c>
      <c r="S14" s="188">
        <v>265000</v>
      </c>
      <c r="T14" s="188">
        <v>265000</v>
      </c>
      <c r="V14" s="545"/>
      <c r="W14" s="187"/>
      <c r="X14" s="187"/>
      <c r="Y14" s="187"/>
      <c r="Z14" s="187"/>
      <c r="AA14" s="187"/>
      <c r="AB14" s="187"/>
      <c r="AD14" s="187"/>
    </row>
    <row r="15" spans="1:30" ht="24" customHeight="1">
      <c r="A15" s="320" t="s">
        <v>31</v>
      </c>
      <c r="B15" s="653"/>
      <c r="C15" s="653"/>
      <c r="D15" s="320" t="s">
        <v>1005</v>
      </c>
      <c r="E15" s="653"/>
      <c r="F15" s="653"/>
      <c r="G15" s="653"/>
      <c r="H15" s="653"/>
      <c r="I15" s="653"/>
      <c r="J15" s="653"/>
      <c r="K15" s="653"/>
      <c r="L15" s="264">
        <v>484365</v>
      </c>
      <c r="M15" s="264">
        <v>461554</v>
      </c>
      <c r="N15" s="189">
        <v>490000</v>
      </c>
      <c r="O15" s="189">
        <v>420000</v>
      </c>
      <c r="P15" s="188">
        <v>415000</v>
      </c>
      <c r="Q15" s="188">
        <v>415000</v>
      </c>
      <c r="R15" s="188">
        <v>415000</v>
      </c>
      <c r="S15" s="188">
        <v>415000</v>
      </c>
      <c r="T15" s="188">
        <v>415000</v>
      </c>
      <c r="V15" s="545"/>
    </row>
    <row r="16" spans="1:30" ht="24" customHeight="1">
      <c r="A16" s="320" t="s">
        <v>729</v>
      </c>
      <c r="B16" s="255"/>
      <c r="C16" s="255"/>
      <c r="D16" s="320" t="s">
        <v>35</v>
      </c>
      <c r="E16" s="255"/>
      <c r="F16" s="255"/>
      <c r="G16" s="255"/>
      <c r="H16" s="255"/>
      <c r="I16" s="255"/>
      <c r="J16" s="255"/>
      <c r="K16" s="255"/>
      <c r="L16" s="264">
        <v>15265</v>
      </c>
      <c r="M16" s="264">
        <v>12625</v>
      </c>
      <c r="N16" s="189">
        <v>15000</v>
      </c>
      <c r="O16" s="189">
        <v>11500</v>
      </c>
      <c r="P16" s="188">
        <v>11500</v>
      </c>
      <c r="Q16" s="188">
        <v>11500</v>
      </c>
      <c r="R16" s="188">
        <v>11500</v>
      </c>
      <c r="S16" s="188">
        <v>11500</v>
      </c>
      <c r="T16" s="188">
        <v>11500</v>
      </c>
      <c r="V16" s="545"/>
    </row>
    <row r="17" spans="1:23" ht="24" customHeight="1">
      <c r="A17" s="320" t="s">
        <v>30</v>
      </c>
      <c r="B17" s="255"/>
      <c r="C17" s="255"/>
      <c r="D17" s="320" t="s">
        <v>4</v>
      </c>
      <c r="E17" s="255"/>
      <c r="F17" s="255"/>
      <c r="G17" s="255"/>
      <c r="H17" s="255"/>
      <c r="I17" s="255"/>
      <c r="J17" s="255"/>
      <c r="K17" s="255"/>
      <c r="L17" s="264">
        <v>218091</v>
      </c>
      <c r="M17" s="264">
        <v>232206</v>
      </c>
      <c r="N17" s="189">
        <v>225000</v>
      </c>
      <c r="O17" s="189">
        <v>230000</v>
      </c>
      <c r="P17" s="188">
        <v>230000</v>
      </c>
      <c r="Q17" s="188">
        <v>230000</v>
      </c>
      <c r="R17" s="188">
        <v>230000</v>
      </c>
      <c r="S17" s="188">
        <v>230000</v>
      </c>
      <c r="T17" s="188">
        <v>230000</v>
      </c>
      <c r="V17" s="545"/>
    </row>
    <row r="18" spans="1:23" ht="24" customHeight="1">
      <c r="A18" s="320" t="s">
        <v>29</v>
      </c>
      <c r="B18" s="255"/>
      <c r="C18" s="255"/>
      <c r="D18" s="320" t="s">
        <v>3</v>
      </c>
      <c r="E18" s="255"/>
      <c r="F18" s="255"/>
      <c r="G18" s="255"/>
      <c r="H18" s="255"/>
      <c r="I18" s="255"/>
      <c r="J18" s="255"/>
      <c r="K18" s="255"/>
      <c r="L18" s="264">
        <v>53859</v>
      </c>
      <c r="M18" s="264">
        <v>65605</v>
      </c>
      <c r="N18" s="189">
        <v>60000</v>
      </c>
      <c r="O18" s="189">
        <v>70000</v>
      </c>
      <c r="P18" s="188">
        <v>70000</v>
      </c>
      <c r="Q18" s="188">
        <v>70000</v>
      </c>
      <c r="R18" s="188">
        <v>70000</v>
      </c>
      <c r="S18" s="188">
        <v>70000</v>
      </c>
      <c r="T18" s="188">
        <v>70000</v>
      </c>
      <c r="V18" s="545"/>
    </row>
    <row r="19" spans="1:23" ht="24" customHeight="1">
      <c r="A19" s="320" t="s">
        <v>1468</v>
      </c>
      <c r="B19" s="671"/>
      <c r="C19" s="671"/>
      <c r="D19" s="674" t="s">
        <v>1186</v>
      </c>
      <c r="E19" s="675"/>
      <c r="F19" s="675"/>
      <c r="G19" s="675"/>
      <c r="H19" s="675"/>
      <c r="I19" s="675"/>
      <c r="J19" s="675"/>
      <c r="K19" s="675"/>
      <c r="L19" s="264">
        <v>2300</v>
      </c>
      <c r="M19" s="264">
        <v>26047</v>
      </c>
      <c r="N19" s="189">
        <v>20000</v>
      </c>
      <c r="O19" s="189">
        <v>45000</v>
      </c>
      <c r="P19" s="188">
        <v>45000</v>
      </c>
      <c r="Q19" s="188">
        <v>45000</v>
      </c>
      <c r="R19" s="188">
        <v>45000</v>
      </c>
      <c r="S19" s="188">
        <v>45000</v>
      </c>
      <c r="T19" s="188">
        <v>45000</v>
      </c>
      <c r="V19" s="545"/>
    </row>
    <row r="20" spans="1:23" ht="24" customHeight="1">
      <c r="A20" s="320" t="s">
        <v>28</v>
      </c>
      <c r="B20" s="255"/>
      <c r="C20" s="255"/>
      <c r="D20" s="159" t="s">
        <v>34</v>
      </c>
      <c r="E20" s="255"/>
      <c r="F20" s="255"/>
      <c r="G20" s="255"/>
      <c r="H20" s="255"/>
      <c r="I20" s="255"/>
      <c r="J20" s="255"/>
      <c r="K20" s="255"/>
      <c r="L20" s="264">
        <v>140856</v>
      </c>
      <c r="M20" s="264">
        <v>144118</v>
      </c>
      <c r="N20" s="189">
        <v>195000</v>
      </c>
      <c r="O20" s="189">
        <v>175000</v>
      </c>
      <c r="P20" s="188">
        <v>175000</v>
      </c>
      <c r="Q20" s="188">
        <v>175000</v>
      </c>
      <c r="R20" s="188">
        <v>175000</v>
      </c>
      <c r="S20" s="188">
        <v>175000</v>
      </c>
      <c r="T20" s="188">
        <v>175000</v>
      </c>
      <c r="V20" s="545"/>
      <c r="W20" s="488"/>
    </row>
    <row r="21" spans="1:23" ht="24" customHeight="1">
      <c r="A21" s="320" t="s">
        <v>27</v>
      </c>
      <c r="B21" s="255"/>
      <c r="C21" s="255"/>
      <c r="D21" s="159" t="s">
        <v>33</v>
      </c>
      <c r="E21" s="255"/>
      <c r="F21" s="255"/>
      <c r="G21" s="255"/>
      <c r="H21" s="255"/>
      <c r="I21" s="255"/>
      <c r="J21" s="255"/>
      <c r="K21" s="255"/>
      <c r="L21" s="264">
        <v>119199</v>
      </c>
      <c r="M21" s="264">
        <v>103720</v>
      </c>
      <c r="N21" s="189">
        <v>105000</v>
      </c>
      <c r="O21" s="189">
        <v>104066</v>
      </c>
      <c r="P21" s="188">
        <v>105000</v>
      </c>
      <c r="Q21" s="188">
        <v>105000</v>
      </c>
      <c r="R21" s="188">
        <v>105000</v>
      </c>
      <c r="S21" s="188">
        <v>105000</v>
      </c>
      <c r="T21" s="188">
        <v>105000</v>
      </c>
      <c r="V21" s="545"/>
      <c r="W21" s="187"/>
    </row>
    <row r="22" spans="1:23" ht="24" customHeight="1">
      <c r="A22" s="320" t="s">
        <v>26</v>
      </c>
      <c r="B22" s="255"/>
      <c r="C22" s="255"/>
      <c r="D22" s="322" t="s">
        <v>1412</v>
      </c>
      <c r="E22" s="255"/>
      <c r="F22" s="255"/>
      <c r="G22" s="255"/>
      <c r="H22" s="255"/>
      <c r="I22" s="255"/>
      <c r="J22" s="255"/>
      <c r="K22" s="255"/>
      <c r="L22" s="264">
        <v>314385</v>
      </c>
      <c r="M22" s="264">
        <v>325724</v>
      </c>
      <c r="N22" s="189">
        <v>317529</v>
      </c>
      <c r="O22" s="189">
        <v>340000</v>
      </c>
      <c r="P22" s="188">
        <f>ROUND(O22*1.02,0)</f>
        <v>346800</v>
      </c>
      <c r="Q22" s="188">
        <f t="shared" ref="Q22:T22" si="3">ROUND(P22*1.02,0)</f>
        <v>353736</v>
      </c>
      <c r="R22" s="188">
        <f t="shared" si="3"/>
        <v>360811</v>
      </c>
      <c r="S22" s="188">
        <f t="shared" si="3"/>
        <v>368027</v>
      </c>
      <c r="T22" s="188">
        <f t="shared" si="3"/>
        <v>375388</v>
      </c>
      <c r="V22" s="545"/>
    </row>
    <row r="23" spans="1:23" ht="24" customHeight="1">
      <c r="A23" s="320" t="s">
        <v>1413</v>
      </c>
      <c r="B23" s="595"/>
      <c r="C23" s="595"/>
      <c r="D23" s="322" t="s">
        <v>1415</v>
      </c>
      <c r="E23" s="595"/>
      <c r="F23" s="595"/>
      <c r="G23" s="595"/>
      <c r="H23" s="595"/>
      <c r="I23" s="595"/>
      <c r="J23" s="595"/>
      <c r="K23" s="595"/>
      <c r="L23" s="264">
        <v>0</v>
      </c>
      <c r="M23" s="264">
        <v>0</v>
      </c>
      <c r="N23" s="189">
        <v>0</v>
      </c>
      <c r="O23" s="189">
        <v>20000</v>
      </c>
      <c r="P23" s="188">
        <v>20000</v>
      </c>
      <c r="Q23" s="188">
        <v>20000</v>
      </c>
      <c r="R23" s="188">
        <v>20000</v>
      </c>
      <c r="S23" s="188">
        <v>20000</v>
      </c>
      <c r="T23" s="188">
        <v>20000</v>
      </c>
      <c r="V23" s="545"/>
    </row>
    <row r="24" spans="1:23" ht="24" customHeight="1">
      <c r="A24" s="320" t="s">
        <v>1414</v>
      </c>
      <c r="B24" s="595"/>
      <c r="C24" s="595"/>
      <c r="D24" s="322" t="s">
        <v>1416</v>
      </c>
      <c r="E24" s="595"/>
      <c r="F24" s="595"/>
      <c r="G24" s="595"/>
      <c r="H24" s="595"/>
      <c r="I24" s="595"/>
      <c r="J24" s="595"/>
      <c r="K24" s="595"/>
      <c r="L24" s="264">
        <v>0</v>
      </c>
      <c r="M24" s="264">
        <v>0</v>
      </c>
      <c r="N24" s="189">
        <v>0</v>
      </c>
      <c r="O24" s="189">
        <v>20000</v>
      </c>
      <c r="P24" s="188">
        <v>20000</v>
      </c>
      <c r="Q24" s="188">
        <v>20000</v>
      </c>
      <c r="R24" s="188">
        <v>20000</v>
      </c>
      <c r="S24" s="188">
        <v>20000</v>
      </c>
      <c r="T24" s="188">
        <v>20000</v>
      </c>
      <c r="V24" s="545"/>
    </row>
    <row r="25" spans="1:23" ht="24" customHeight="1">
      <c r="A25" s="320" t="s">
        <v>25</v>
      </c>
      <c r="B25" s="255"/>
      <c r="C25" s="255"/>
      <c r="D25" s="320" t="s">
        <v>32</v>
      </c>
      <c r="E25" s="255"/>
      <c r="F25" s="255"/>
      <c r="G25" s="255"/>
      <c r="H25" s="255"/>
      <c r="I25" s="255"/>
      <c r="J25" s="255"/>
      <c r="K25" s="255"/>
      <c r="L25" s="264">
        <v>9633</v>
      </c>
      <c r="M25" s="264">
        <v>10638</v>
      </c>
      <c r="N25" s="189">
        <v>10000</v>
      </c>
      <c r="O25" s="189">
        <v>11000</v>
      </c>
      <c r="P25" s="188">
        <v>11000</v>
      </c>
      <c r="Q25" s="188">
        <v>11000</v>
      </c>
      <c r="R25" s="188">
        <v>11000</v>
      </c>
      <c r="S25" s="188">
        <v>11000</v>
      </c>
      <c r="T25" s="188">
        <v>11000</v>
      </c>
      <c r="V25" s="545"/>
    </row>
    <row r="26" spans="1:23" ht="24" customHeight="1">
      <c r="A26" s="320" t="s">
        <v>250</v>
      </c>
      <c r="B26" s="255"/>
      <c r="C26" s="255"/>
      <c r="D26" s="320" t="s">
        <v>251</v>
      </c>
      <c r="E26" s="255"/>
      <c r="F26" s="255"/>
      <c r="G26" s="255"/>
      <c r="H26" s="255"/>
      <c r="I26" s="255"/>
      <c r="J26" s="255"/>
      <c r="K26" s="255"/>
      <c r="L26" s="264">
        <v>314</v>
      </c>
      <c r="M26" s="264">
        <v>0</v>
      </c>
      <c r="N26" s="189">
        <v>0</v>
      </c>
      <c r="O26" s="189">
        <v>0</v>
      </c>
      <c r="P26" s="188">
        <v>0</v>
      </c>
      <c r="Q26" s="188">
        <v>0</v>
      </c>
      <c r="R26" s="188">
        <v>0</v>
      </c>
      <c r="S26" s="188">
        <v>0</v>
      </c>
      <c r="T26" s="188">
        <v>0</v>
      </c>
      <c r="V26" s="545"/>
    </row>
    <row r="27" spans="1:23" ht="24" customHeight="1">
      <c r="A27" s="320" t="s">
        <v>42</v>
      </c>
      <c r="B27" s="255"/>
      <c r="C27" s="255"/>
      <c r="D27" s="159" t="s">
        <v>45</v>
      </c>
      <c r="E27" s="255"/>
      <c r="F27" s="255"/>
      <c r="G27" s="255"/>
      <c r="H27" s="255"/>
      <c r="I27" s="255"/>
      <c r="J27" s="255"/>
      <c r="K27" s="255"/>
      <c r="L27" s="264">
        <v>1587324</v>
      </c>
      <c r="M27" s="264">
        <v>1613102</v>
      </c>
      <c r="N27" s="189">
        <v>1650000</v>
      </c>
      <c r="O27" s="189">
        <v>1610000</v>
      </c>
      <c r="P27" s="188">
        <f>O27</f>
        <v>1610000</v>
      </c>
      <c r="Q27" s="188">
        <f t="shared" ref="Q27:T27" si="4">P27</f>
        <v>1610000</v>
      </c>
      <c r="R27" s="188">
        <f t="shared" si="4"/>
        <v>1610000</v>
      </c>
      <c r="S27" s="188">
        <f t="shared" si="4"/>
        <v>1610000</v>
      </c>
      <c r="T27" s="188">
        <f t="shared" si="4"/>
        <v>1610000</v>
      </c>
      <c r="V27" s="545"/>
    </row>
    <row r="28" spans="1:23" ht="24" customHeight="1">
      <c r="A28" s="320" t="s">
        <v>41</v>
      </c>
      <c r="B28" s="255"/>
      <c r="C28" s="255"/>
      <c r="D28" s="159" t="s">
        <v>230</v>
      </c>
      <c r="E28" s="255"/>
      <c r="F28" s="255"/>
      <c r="G28" s="255"/>
      <c r="H28" s="255"/>
      <c r="I28" s="255"/>
      <c r="J28" s="255"/>
      <c r="K28" s="255"/>
      <c r="L28" s="264">
        <v>268285</v>
      </c>
      <c r="M28" s="264">
        <v>296298</v>
      </c>
      <c r="N28" s="189">
        <v>280000</v>
      </c>
      <c r="O28" s="189">
        <v>340000</v>
      </c>
      <c r="P28" s="188">
        <f>ROUND(O28*1.02,0)</f>
        <v>346800</v>
      </c>
      <c r="Q28" s="188">
        <f t="shared" ref="Q28:T28" si="5">ROUND(P28*1.02,0)</f>
        <v>353736</v>
      </c>
      <c r="R28" s="188">
        <f t="shared" si="5"/>
        <v>360811</v>
      </c>
      <c r="S28" s="188">
        <f t="shared" si="5"/>
        <v>368027</v>
      </c>
      <c r="T28" s="188">
        <f t="shared" si="5"/>
        <v>375388</v>
      </c>
      <c r="V28" s="545"/>
    </row>
    <row r="29" spans="1:23" ht="24" customHeight="1">
      <c r="A29" s="320" t="s">
        <v>40</v>
      </c>
      <c r="B29" s="255"/>
      <c r="C29" s="255"/>
      <c r="D29" s="159" t="s">
        <v>202</v>
      </c>
      <c r="E29" s="255"/>
      <c r="F29" s="255"/>
      <c r="G29" s="255"/>
      <c r="H29" s="255"/>
      <c r="I29" s="255"/>
      <c r="J29" s="255"/>
      <c r="K29" s="255"/>
      <c r="L29" s="264">
        <v>168477</v>
      </c>
      <c r="M29" s="264">
        <v>164398</v>
      </c>
      <c r="N29" s="189">
        <v>175000</v>
      </c>
      <c r="O29" s="189">
        <v>171756</v>
      </c>
      <c r="P29" s="188">
        <v>175000</v>
      </c>
      <c r="Q29" s="188">
        <v>175000</v>
      </c>
      <c r="R29" s="188">
        <v>175000</v>
      </c>
      <c r="S29" s="188">
        <v>180000</v>
      </c>
      <c r="T29" s="188">
        <v>180000</v>
      </c>
      <c r="V29" s="545"/>
    </row>
    <row r="30" spans="1:23" ht="24" customHeight="1">
      <c r="A30" s="320" t="s">
        <v>39</v>
      </c>
      <c r="B30" s="255"/>
      <c r="C30" s="255"/>
      <c r="D30" s="320" t="s">
        <v>44</v>
      </c>
      <c r="E30" s="255"/>
      <c r="F30" s="255"/>
      <c r="G30" s="255"/>
      <c r="H30" s="255"/>
      <c r="I30" s="255"/>
      <c r="J30" s="255"/>
      <c r="K30" s="255"/>
      <c r="L30" s="264">
        <v>15908</v>
      </c>
      <c r="M30" s="264">
        <v>16672</v>
      </c>
      <c r="N30" s="189">
        <v>16000</v>
      </c>
      <c r="O30" s="189">
        <v>16000</v>
      </c>
      <c r="P30" s="188">
        <v>16000</v>
      </c>
      <c r="Q30" s="188">
        <v>16000</v>
      </c>
      <c r="R30" s="188">
        <v>16000</v>
      </c>
      <c r="S30" s="188">
        <v>16000</v>
      </c>
      <c r="T30" s="188">
        <v>16000</v>
      </c>
      <c r="V30" s="545"/>
    </row>
    <row r="31" spans="1:23" ht="24" customHeight="1">
      <c r="A31" s="320" t="s">
        <v>38</v>
      </c>
      <c r="B31" s="255"/>
      <c r="C31" s="255"/>
      <c r="D31" s="159" t="s">
        <v>5</v>
      </c>
      <c r="E31" s="255"/>
      <c r="F31" s="255"/>
      <c r="G31" s="255"/>
      <c r="H31" s="255"/>
      <c r="I31" s="255"/>
      <c r="J31" s="255"/>
      <c r="K31" s="255"/>
      <c r="L31" s="264">
        <v>17131</v>
      </c>
      <c r="M31" s="264">
        <v>8880</v>
      </c>
      <c r="N31" s="189">
        <v>15000</v>
      </c>
      <c r="O31" s="189">
        <v>10000</v>
      </c>
      <c r="P31" s="188">
        <v>10000</v>
      </c>
      <c r="Q31" s="188">
        <v>10000</v>
      </c>
      <c r="R31" s="188">
        <v>10000</v>
      </c>
      <c r="S31" s="188">
        <v>10000</v>
      </c>
      <c r="T31" s="188">
        <v>10000</v>
      </c>
      <c r="V31" s="545"/>
    </row>
    <row r="32" spans="1:23" ht="24" customHeight="1">
      <c r="A32" s="320" t="s">
        <v>1238</v>
      </c>
      <c r="B32" s="444"/>
      <c r="C32" s="444"/>
      <c r="D32" s="760" t="s">
        <v>1335</v>
      </c>
      <c r="E32" s="760"/>
      <c r="F32" s="760"/>
      <c r="G32" s="760"/>
      <c r="H32" s="760"/>
      <c r="I32" s="760"/>
      <c r="J32" s="760"/>
      <c r="K32" s="760"/>
      <c r="L32" s="264">
        <v>20019</v>
      </c>
      <c r="M32" s="264">
        <v>19284</v>
      </c>
      <c r="N32" s="189">
        <v>20000</v>
      </c>
      <c r="O32" s="189">
        <v>17290</v>
      </c>
      <c r="P32" s="188">
        <v>19000</v>
      </c>
      <c r="Q32" s="188">
        <v>19000</v>
      </c>
      <c r="R32" s="188">
        <v>19000</v>
      </c>
      <c r="S32" s="188">
        <v>19000</v>
      </c>
      <c r="T32" s="188">
        <v>19000</v>
      </c>
      <c r="V32" s="545"/>
    </row>
    <row r="33" spans="1:28" ht="24" customHeight="1">
      <c r="A33" s="320" t="s">
        <v>37</v>
      </c>
      <c r="B33" s="255"/>
      <c r="C33" s="255"/>
      <c r="D33" s="159" t="s">
        <v>43</v>
      </c>
      <c r="E33" s="255"/>
      <c r="F33" s="255"/>
      <c r="G33" s="255"/>
      <c r="H33" s="255"/>
      <c r="I33" s="255"/>
      <c r="J33" s="255"/>
      <c r="K33" s="255"/>
      <c r="L33" s="264">
        <v>0</v>
      </c>
      <c r="M33" s="264">
        <v>266</v>
      </c>
      <c r="N33" s="189">
        <v>0</v>
      </c>
      <c r="O33" s="189">
        <v>0</v>
      </c>
      <c r="P33" s="188">
        <v>0</v>
      </c>
      <c r="Q33" s="188">
        <v>0</v>
      </c>
      <c r="R33" s="188">
        <v>0</v>
      </c>
      <c r="S33" s="188">
        <v>0</v>
      </c>
      <c r="T33" s="188">
        <v>0</v>
      </c>
      <c r="V33" s="545"/>
    </row>
    <row r="34" spans="1:28" ht="24" customHeight="1">
      <c r="A34" s="320" t="s">
        <v>233</v>
      </c>
      <c r="B34" s="255"/>
      <c r="C34" s="255"/>
      <c r="D34" s="159" t="s">
        <v>234</v>
      </c>
      <c r="E34" s="255"/>
      <c r="F34" s="255"/>
      <c r="G34" s="255"/>
      <c r="H34" s="255"/>
      <c r="I34" s="255"/>
      <c r="J34" s="255"/>
      <c r="K34" s="255"/>
      <c r="L34" s="266">
        <v>1313</v>
      </c>
      <c r="M34" s="266">
        <v>1427</v>
      </c>
      <c r="N34" s="194">
        <v>1200</v>
      </c>
      <c r="O34" s="194">
        <v>1200</v>
      </c>
      <c r="P34" s="193">
        <v>1300</v>
      </c>
      <c r="Q34" s="193">
        <v>1300</v>
      </c>
      <c r="R34" s="193">
        <v>1300</v>
      </c>
      <c r="S34" s="193">
        <v>1300</v>
      </c>
      <c r="T34" s="193">
        <v>1300</v>
      </c>
      <c r="V34" s="545"/>
    </row>
    <row r="35" spans="1:28" ht="24" customHeight="1">
      <c r="A35" s="320" t="s">
        <v>48</v>
      </c>
      <c r="B35" s="255"/>
      <c r="C35" s="255"/>
      <c r="D35" s="320" t="s">
        <v>1374</v>
      </c>
      <c r="E35" s="255"/>
      <c r="F35" s="255"/>
      <c r="G35" s="255"/>
      <c r="H35" s="255"/>
      <c r="I35" s="255"/>
      <c r="J35" s="255"/>
      <c r="K35" s="255"/>
      <c r="L35" s="264">
        <v>39895</v>
      </c>
      <c r="M35" s="264">
        <v>47781</v>
      </c>
      <c r="N35" s="189">
        <v>40000</v>
      </c>
      <c r="O35" s="189">
        <v>45000</v>
      </c>
      <c r="P35" s="188">
        <v>45000</v>
      </c>
      <c r="Q35" s="188">
        <v>45000</v>
      </c>
      <c r="R35" s="188">
        <v>45000</v>
      </c>
      <c r="S35" s="188">
        <v>45000</v>
      </c>
      <c r="T35" s="188">
        <v>45000</v>
      </c>
      <c r="V35" s="545"/>
    </row>
    <row r="36" spans="1:28" ht="24" customHeight="1">
      <c r="A36" s="320" t="s">
        <v>47</v>
      </c>
      <c r="B36" s="255"/>
      <c r="C36" s="255"/>
      <c r="D36" s="320" t="s">
        <v>721</v>
      </c>
      <c r="E36" s="255"/>
      <c r="F36" s="255"/>
      <c r="G36" s="255"/>
      <c r="H36" s="255"/>
      <c r="I36" s="255"/>
      <c r="J36" s="255"/>
      <c r="K36" s="255"/>
      <c r="L36" s="264">
        <v>2336</v>
      </c>
      <c r="M36" s="264">
        <v>4156</v>
      </c>
      <c r="N36" s="189">
        <v>3000</v>
      </c>
      <c r="O36" s="189">
        <v>3000</v>
      </c>
      <c r="P36" s="188">
        <v>3000</v>
      </c>
      <c r="Q36" s="188">
        <v>3000</v>
      </c>
      <c r="R36" s="188">
        <v>3000</v>
      </c>
      <c r="S36" s="188">
        <v>3000</v>
      </c>
      <c r="T36" s="188">
        <v>3000</v>
      </c>
      <c r="V36" s="545"/>
    </row>
    <row r="37" spans="1:28" ht="24" customHeight="1">
      <c r="A37" s="320" t="s">
        <v>46</v>
      </c>
      <c r="B37" s="255"/>
      <c r="C37" s="255"/>
      <c r="D37" s="320" t="s">
        <v>50</v>
      </c>
      <c r="E37" s="255"/>
      <c r="F37" s="255"/>
      <c r="G37" s="255"/>
      <c r="H37" s="255"/>
      <c r="I37" s="255"/>
      <c r="J37" s="255"/>
      <c r="K37" s="255"/>
      <c r="L37" s="264">
        <v>126600</v>
      </c>
      <c r="M37" s="264">
        <v>116182</v>
      </c>
      <c r="N37" s="189">
        <v>150000</v>
      </c>
      <c r="O37" s="189">
        <v>130000</v>
      </c>
      <c r="P37" s="188">
        <v>150000</v>
      </c>
      <c r="Q37" s="188">
        <v>150000</v>
      </c>
      <c r="R37" s="188">
        <v>175000</v>
      </c>
      <c r="S37" s="188">
        <v>175000</v>
      </c>
      <c r="T37" s="188">
        <v>175000</v>
      </c>
      <c r="V37" s="545"/>
    </row>
    <row r="38" spans="1:28" ht="24" customHeight="1">
      <c r="A38" s="320" t="s">
        <v>53</v>
      </c>
      <c r="B38" s="321"/>
      <c r="C38" s="321"/>
      <c r="D38" s="320" t="s">
        <v>997</v>
      </c>
      <c r="E38" s="321"/>
      <c r="F38" s="321"/>
      <c r="G38" s="321"/>
      <c r="H38" s="321"/>
      <c r="I38" s="321"/>
      <c r="J38" s="321"/>
      <c r="K38" s="321"/>
      <c r="L38" s="264">
        <v>59121</v>
      </c>
      <c r="M38" s="264">
        <v>45653</v>
      </c>
      <c r="N38" s="189">
        <v>60000</v>
      </c>
      <c r="O38" s="189">
        <v>45000</v>
      </c>
      <c r="P38" s="188">
        <v>45000</v>
      </c>
      <c r="Q38" s="188">
        <v>45000</v>
      </c>
      <c r="R38" s="188">
        <v>45000</v>
      </c>
      <c r="S38" s="188">
        <v>45000</v>
      </c>
      <c r="T38" s="188">
        <v>45000</v>
      </c>
      <c r="V38" s="545"/>
      <c r="W38" s="252"/>
      <c r="X38" s="252"/>
      <c r="Y38" s="252"/>
      <c r="Z38" s="252"/>
      <c r="AA38" s="252"/>
      <c r="AB38" s="252"/>
    </row>
    <row r="39" spans="1:28" ht="24" customHeight="1">
      <c r="A39" s="320" t="s">
        <v>52</v>
      </c>
      <c r="B39" s="255"/>
      <c r="C39" s="255"/>
      <c r="D39" s="320" t="s">
        <v>236</v>
      </c>
      <c r="E39" s="255"/>
      <c r="F39" s="255"/>
      <c r="G39" s="255"/>
      <c r="H39" s="255"/>
      <c r="I39" s="255"/>
      <c r="J39" s="255"/>
      <c r="K39" s="255"/>
      <c r="L39" s="264">
        <v>36328</v>
      </c>
      <c r="M39" s="264">
        <v>42430</v>
      </c>
      <c r="N39" s="189">
        <v>35000</v>
      </c>
      <c r="O39" s="189">
        <v>35000</v>
      </c>
      <c r="P39" s="188">
        <v>35000</v>
      </c>
      <c r="Q39" s="188">
        <v>35000</v>
      </c>
      <c r="R39" s="188">
        <v>35000</v>
      </c>
      <c r="S39" s="188">
        <v>35000</v>
      </c>
      <c r="T39" s="188">
        <v>35000</v>
      </c>
      <c r="U39" s="392"/>
      <c r="V39" s="545"/>
    </row>
    <row r="40" spans="1:28" ht="24" customHeight="1">
      <c r="A40" s="320" t="s">
        <v>1115</v>
      </c>
      <c r="B40" s="255"/>
      <c r="C40" s="255"/>
      <c r="D40" s="320" t="s">
        <v>810</v>
      </c>
      <c r="E40" s="255"/>
      <c r="F40" s="255"/>
      <c r="G40" s="255"/>
      <c r="H40" s="255"/>
      <c r="I40" s="255"/>
      <c r="J40" s="255"/>
      <c r="K40" s="255"/>
      <c r="L40" s="268">
        <v>320</v>
      </c>
      <c r="M40" s="268">
        <v>215</v>
      </c>
      <c r="N40" s="197">
        <v>250</v>
      </c>
      <c r="O40" s="197">
        <v>250</v>
      </c>
      <c r="P40" s="196">
        <v>250</v>
      </c>
      <c r="Q40" s="196">
        <v>250</v>
      </c>
      <c r="R40" s="196">
        <v>250</v>
      </c>
      <c r="S40" s="196">
        <v>250</v>
      </c>
      <c r="T40" s="196">
        <v>250</v>
      </c>
      <c r="V40" s="545"/>
    </row>
    <row r="41" spans="1:28" ht="24" customHeight="1">
      <c r="A41" s="320" t="s">
        <v>51</v>
      </c>
      <c r="B41" s="321"/>
      <c r="C41" s="321"/>
      <c r="D41" s="320" t="s">
        <v>54</v>
      </c>
      <c r="E41" s="321"/>
      <c r="F41" s="321"/>
      <c r="G41" s="321"/>
      <c r="H41" s="321"/>
      <c r="I41" s="321"/>
      <c r="J41" s="321"/>
      <c r="K41" s="321"/>
      <c r="L41" s="264">
        <v>73375</v>
      </c>
      <c r="M41" s="264">
        <v>85656</v>
      </c>
      <c r="N41" s="189">
        <v>80000</v>
      </c>
      <c r="O41" s="189">
        <v>80000</v>
      </c>
      <c r="P41" s="188">
        <v>80000</v>
      </c>
      <c r="Q41" s="188">
        <v>80000</v>
      </c>
      <c r="R41" s="188">
        <v>80000</v>
      </c>
      <c r="S41" s="188">
        <v>80000</v>
      </c>
      <c r="T41" s="188">
        <v>80000</v>
      </c>
      <c r="V41" s="545"/>
    </row>
    <row r="42" spans="1:28" ht="24" customHeight="1">
      <c r="A42" s="320" t="s">
        <v>56</v>
      </c>
      <c r="B42" s="321"/>
      <c r="C42" s="321"/>
      <c r="D42" s="320" t="s">
        <v>58</v>
      </c>
      <c r="E42" s="321"/>
      <c r="F42" s="321"/>
      <c r="G42" s="321"/>
      <c r="H42" s="321"/>
      <c r="I42" s="321"/>
      <c r="J42" s="321"/>
      <c r="K42" s="321"/>
      <c r="L42" s="264">
        <v>1028304</v>
      </c>
      <c r="M42" s="264">
        <v>1003263</v>
      </c>
      <c r="N42" s="189">
        <v>1031701</v>
      </c>
      <c r="O42" s="189">
        <v>1115000</v>
      </c>
      <c r="P42" s="188">
        <f>ROUND(O42*1.03,0)</f>
        <v>1148450</v>
      </c>
      <c r="Q42" s="188">
        <f t="shared" ref="Q42:T42" si="6">ROUND(P42*1.03,0)</f>
        <v>1182904</v>
      </c>
      <c r="R42" s="188">
        <f t="shared" si="6"/>
        <v>1218391</v>
      </c>
      <c r="S42" s="188">
        <f t="shared" si="6"/>
        <v>1254943</v>
      </c>
      <c r="T42" s="188">
        <f t="shared" si="6"/>
        <v>1292591</v>
      </c>
      <c r="V42" s="545"/>
    </row>
    <row r="43" spans="1:28" ht="24" customHeight="1">
      <c r="A43" s="320" t="s">
        <v>55</v>
      </c>
      <c r="B43" s="255"/>
      <c r="C43" s="255"/>
      <c r="D43" s="320" t="s">
        <v>1375</v>
      </c>
      <c r="E43" s="255"/>
      <c r="F43" s="255"/>
      <c r="G43" s="255"/>
      <c r="H43" s="255"/>
      <c r="I43" s="255"/>
      <c r="J43" s="255"/>
      <c r="K43" s="255"/>
      <c r="L43" s="264">
        <v>150423</v>
      </c>
      <c r="M43" s="264">
        <v>150249</v>
      </c>
      <c r="N43" s="189">
        <v>150000</v>
      </c>
      <c r="O43" s="189">
        <v>150000</v>
      </c>
      <c r="P43" s="188">
        <v>150000</v>
      </c>
      <c r="Q43" s="188">
        <v>150000</v>
      </c>
      <c r="R43" s="188">
        <v>150000</v>
      </c>
      <c r="S43" s="188">
        <v>150000</v>
      </c>
      <c r="T43" s="188">
        <v>150000</v>
      </c>
      <c r="V43" s="545"/>
    </row>
    <row r="44" spans="1:28" ht="24" customHeight="1">
      <c r="A44" s="320" t="s">
        <v>1113</v>
      </c>
      <c r="B44" s="321"/>
      <c r="C44" s="321"/>
      <c r="D44" s="320" t="s">
        <v>1066</v>
      </c>
      <c r="E44" s="321"/>
      <c r="F44" s="321"/>
      <c r="G44" s="321"/>
      <c r="H44" s="321"/>
      <c r="I44" s="321"/>
      <c r="J44" s="321"/>
      <c r="K44" s="321"/>
      <c r="L44" s="264">
        <v>21081</v>
      </c>
      <c r="M44" s="264">
        <v>21054</v>
      </c>
      <c r="N44" s="189">
        <v>21000</v>
      </c>
      <c r="O44" s="189">
        <v>21000</v>
      </c>
      <c r="P44" s="188">
        <v>21000</v>
      </c>
      <c r="Q44" s="188">
        <v>21000</v>
      </c>
      <c r="R44" s="188">
        <v>21000</v>
      </c>
      <c r="S44" s="188">
        <v>21000</v>
      </c>
      <c r="T44" s="188">
        <v>21000</v>
      </c>
      <c r="V44" s="545"/>
    </row>
    <row r="45" spans="1:28" ht="24" customHeight="1">
      <c r="A45" s="320" t="s">
        <v>252</v>
      </c>
      <c r="B45" s="255"/>
      <c r="C45" s="255"/>
      <c r="D45" s="320" t="s">
        <v>253</v>
      </c>
      <c r="E45" s="255"/>
      <c r="F45" s="255"/>
      <c r="G45" s="255"/>
      <c r="H45" s="255"/>
      <c r="I45" s="255"/>
      <c r="J45" s="255"/>
      <c r="K45" s="255"/>
      <c r="L45" s="268">
        <v>100</v>
      </c>
      <c r="M45" s="268">
        <v>600</v>
      </c>
      <c r="N45" s="197">
        <v>500</v>
      </c>
      <c r="O45" s="197">
        <v>500</v>
      </c>
      <c r="P45" s="196">
        <v>500</v>
      </c>
      <c r="Q45" s="196">
        <v>500</v>
      </c>
      <c r="R45" s="196">
        <v>500</v>
      </c>
      <c r="S45" s="196">
        <v>500</v>
      </c>
      <c r="T45" s="196">
        <v>500</v>
      </c>
      <c r="V45" s="545"/>
      <c r="W45" s="414"/>
    </row>
    <row r="46" spans="1:28" ht="24" customHeight="1">
      <c r="A46" s="320" t="s">
        <v>59</v>
      </c>
      <c r="B46" s="321"/>
      <c r="C46" s="321"/>
      <c r="D46" s="746" t="s">
        <v>6</v>
      </c>
      <c r="E46" s="746"/>
      <c r="F46" s="746"/>
      <c r="G46" s="746"/>
      <c r="H46" s="746"/>
      <c r="I46" s="746"/>
      <c r="J46" s="746"/>
      <c r="K46" s="746"/>
      <c r="L46" s="264">
        <v>7287</v>
      </c>
      <c r="M46" s="264">
        <v>8792</v>
      </c>
      <c r="N46" s="189">
        <v>8000</v>
      </c>
      <c r="O46" s="189">
        <v>5250</v>
      </c>
      <c r="P46" s="188">
        <v>4000</v>
      </c>
      <c r="Q46" s="188">
        <v>4000</v>
      </c>
      <c r="R46" s="188">
        <v>4000</v>
      </c>
      <c r="S46" s="188">
        <v>4000</v>
      </c>
      <c r="T46" s="188">
        <v>4000</v>
      </c>
      <c r="V46" s="545"/>
    </row>
    <row r="47" spans="1:28" ht="24" customHeight="1">
      <c r="A47" s="320" t="s">
        <v>63</v>
      </c>
      <c r="B47" s="321"/>
      <c r="C47" s="321"/>
      <c r="D47" s="320" t="s">
        <v>65</v>
      </c>
      <c r="E47" s="321"/>
      <c r="F47" s="321"/>
      <c r="G47" s="321"/>
      <c r="H47" s="321"/>
      <c r="I47" s="321"/>
      <c r="J47" s="321"/>
      <c r="K47" s="321"/>
      <c r="L47" s="268">
        <v>12492</v>
      </c>
      <c r="M47" s="268">
        <v>2629</v>
      </c>
      <c r="N47" s="197">
        <v>0</v>
      </c>
      <c r="O47" s="197">
        <v>0</v>
      </c>
      <c r="P47" s="196">
        <v>0</v>
      </c>
      <c r="Q47" s="196">
        <v>0</v>
      </c>
      <c r="R47" s="196">
        <v>0</v>
      </c>
      <c r="S47" s="196">
        <v>0</v>
      </c>
      <c r="T47" s="196">
        <v>0</v>
      </c>
      <c r="V47" s="545"/>
    </row>
    <row r="48" spans="1:28" ht="24" customHeight="1">
      <c r="A48" s="320" t="s">
        <v>778</v>
      </c>
      <c r="B48" s="321"/>
      <c r="C48" s="321"/>
      <c r="D48" s="320" t="s">
        <v>779</v>
      </c>
      <c r="E48" s="321"/>
      <c r="F48" s="321"/>
      <c r="G48" s="321"/>
      <c r="H48" s="321"/>
      <c r="I48" s="321"/>
      <c r="J48" s="321"/>
      <c r="K48" s="321"/>
      <c r="L48" s="268">
        <v>30004</v>
      </c>
      <c r="M48" s="268">
        <v>107193</v>
      </c>
      <c r="N48" s="197">
        <v>50000</v>
      </c>
      <c r="O48" s="197">
        <v>50000</v>
      </c>
      <c r="P48" s="196">
        <v>50000</v>
      </c>
      <c r="Q48" s="196">
        <v>50000</v>
      </c>
      <c r="R48" s="196">
        <v>50000</v>
      </c>
      <c r="S48" s="196">
        <v>50000</v>
      </c>
      <c r="T48" s="196">
        <v>50000</v>
      </c>
      <c r="V48" s="545"/>
    </row>
    <row r="49" spans="1:27" ht="24" customHeight="1">
      <c r="A49" s="320" t="s">
        <v>263</v>
      </c>
      <c r="B49" s="255"/>
      <c r="C49" s="255"/>
      <c r="D49" s="320" t="s">
        <v>268</v>
      </c>
      <c r="E49" s="255"/>
      <c r="F49" s="255"/>
      <c r="G49" s="255"/>
      <c r="H49" s="255"/>
      <c r="I49" s="255"/>
      <c r="J49" s="255"/>
      <c r="K49" s="255"/>
      <c r="L49" s="265">
        <v>57824</v>
      </c>
      <c r="M49" s="265">
        <v>0</v>
      </c>
      <c r="N49" s="195">
        <v>0</v>
      </c>
      <c r="O49" s="195">
        <v>0</v>
      </c>
      <c r="P49" s="192">
        <v>0</v>
      </c>
      <c r="Q49" s="192">
        <v>0</v>
      </c>
      <c r="R49" s="192">
        <v>0</v>
      </c>
      <c r="S49" s="192">
        <v>0</v>
      </c>
      <c r="T49" s="192">
        <v>0</v>
      </c>
      <c r="V49" s="545"/>
    </row>
    <row r="50" spans="1:27" ht="24" customHeight="1">
      <c r="A50" s="320" t="s">
        <v>62</v>
      </c>
      <c r="B50" s="321"/>
      <c r="C50" s="321"/>
      <c r="D50" s="320" t="s">
        <v>265</v>
      </c>
      <c r="E50" s="321"/>
      <c r="F50" s="321"/>
      <c r="G50" s="321"/>
      <c r="H50" s="321"/>
      <c r="I50" s="321"/>
      <c r="J50" s="321"/>
      <c r="K50" s="321"/>
      <c r="L50" s="265">
        <v>67166</v>
      </c>
      <c r="M50" s="265">
        <v>0</v>
      </c>
      <c r="N50" s="197">
        <v>0</v>
      </c>
      <c r="O50" s="197">
        <v>0</v>
      </c>
      <c r="P50" s="196">
        <v>0</v>
      </c>
      <c r="Q50" s="196">
        <v>0</v>
      </c>
      <c r="R50" s="196">
        <v>0</v>
      </c>
      <c r="S50" s="196">
        <v>0</v>
      </c>
      <c r="T50" s="196">
        <v>0</v>
      </c>
      <c r="U50" s="393"/>
      <c r="V50" s="545"/>
    </row>
    <row r="51" spans="1:27" ht="24" customHeight="1">
      <c r="A51" s="320" t="s">
        <v>261</v>
      </c>
      <c r="B51" s="321"/>
      <c r="C51" s="321"/>
      <c r="D51" s="320" t="s">
        <v>262</v>
      </c>
      <c r="E51" s="321"/>
      <c r="F51" s="321"/>
      <c r="G51" s="321"/>
      <c r="H51" s="321"/>
      <c r="I51" s="321"/>
      <c r="J51" s="321"/>
      <c r="K51" s="321"/>
      <c r="L51" s="265">
        <v>2229</v>
      </c>
      <c r="M51" s="265">
        <v>0</v>
      </c>
      <c r="N51" s="197">
        <v>0</v>
      </c>
      <c r="O51" s="197">
        <v>0</v>
      </c>
      <c r="P51" s="196">
        <v>0</v>
      </c>
      <c r="Q51" s="196">
        <v>0</v>
      </c>
      <c r="R51" s="196">
        <v>0</v>
      </c>
      <c r="S51" s="196">
        <v>0</v>
      </c>
      <c r="T51" s="196">
        <v>0</v>
      </c>
      <c r="V51" s="545"/>
    </row>
    <row r="52" spans="1:27" ht="24" customHeight="1">
      <c r="A52" s="320" t="s">
        <v>61</v>
      </c>
      <c r="B52" s="255"/>
      <c r="C52" s="255"/>
      <c r="D52" s="320" t="s">
        <v>237</v>
      </c>
      <c r="E52" s="255"/>
      <c r="F52" s="255"/>
      <c r="G52" s="255"/>
      <c r="H52" s="255"/>
      <c r="I52" s="255"/>
      <c r="J52" s="255"/>
      <c r="K52" s="255"/>
      <c r="L52" s="268">
        <v>27670</v>
      </c>
      <c r="M52" s="268">
        <v>4764</v>
      </c>
      <c r="N52" s="197">
        <v>5000</v>
      </c>
      <c r="O52" s="197">
        <v>5000</v>
      </c>
      <c r="P52" s="196">
        <v>5000</v>
      </c>
      <c r="Q52" s="196">
        <v>5000</v>
      </c>
      <c r="R52" s="196">
        <v>5000</v>
      </c>
      <c r="S52" s="196">
        <v>5000</v>
      </c>
      <c r="T52" s="196">
        <v>5000</v>
      </c>
      <c r="V52" s="545"/>
    </row>
    <row r="53" spans="1:27" ht="24" customHeight="1">
      <c r="A53" s="320" t="s">
        <v>259</v>
      </c>
      <c r="B53" s="255"/>
      <c r="C53" s="255"/>
      <c r="D53" s="320" t="s">
        <v>260</v>
      </c>
      <c r="E53" s="255"/>
      <c r="F53" s="255"/>
      <c r="G53" s="255"/>
      <c r="H53" s="255"/>
      <c r="I53" s="255"/>
      <c r="J53" s="255"/>
      <c r="K53" s="255"/>
      <c r="L53" s="268">
        <v>15098</v>
      </c>
      <c r="M53" s="268">
        <v>30788</v>
      </c>
      <c r="N53" s="197">
        <v>0</v>
      </c>
      <c r="O53" s="197">
        <v>0</v>
      </c>
      <c r="P53" s="196">
        <v>0</v>
      </c>
      <c r="Q53" s="196">
        <v>0</v>
      </c>
      <c r="R53" s="196">
        <v>0</v>
      </c>
      <c r="S53" s="196">
        <v>0</v>
      </c>
      <c r="T53" s="196">
        <v>0</v>
      </c>
      <c r="V53" s="545"/>
    </row>
    <row r="54" spans="1:27" ht="24" customHeight="1">
      <c r="A54" s="320" t="s">
        <v>225</v>
      </c>
      <c r="B54" s="255"/>
      <c r="C54" s="255"/>
      <c r="D54" s="320" t="s">
        <v>226</v>
      </c>
      <c r="E54" s="255"/>
      <c r="F54" s="255"/>
      <c r="G54" s="255"/>
      <c r="H54" s="255"/>
      <c r="I54" s="255"/>
      <c r="J54" s="255"/>
      <c r="K54" s="255"/>
      <c r="L54" s="268">
        <v>17243</v>
      </c>
      <c r="M54" s="268">
        <v>18932</v>
      </c>
      <c r="N54" s="197">
        <v>20000</v>
      </c>
      <c r="O54" s="197">
        <v>20000</v>
      </c>
      <c r="P54" s="196">
        <v>20000</v>
      </c>
      <c r="Q54" s="196">
        <v>20000</v>
      </c>
      <c r="R54" s="196">
        <v>20000</v>
      </c>
      <c r="S54" s="196">
        <v>20000</v>
      </c>
      <c r="T54" s="196">
        <v>20000</v>
      </c>
      <c r="V54" s="545"/>
    </row>
    <row r="55" spans="1:27" ht="24" customHeight="1">
      <c r="A55" s="320" t="s">
        <v>60</v>
      </c>
      <c r="B55" s="321"/>
      <c r="C55" s="321"/>
      <c r="D55" s="320" t="s">
        <v>64</v>
      </c>
      <c r="E55" s="321"/>
      <c r="F55" s="321"/>
      <c r="G55" s="321"/>
      <c r="H55" s="321"/>
      <c r="I55" s="321"/>
      <c r="J55" s="321"/>
      <c r="K55" s="321"/>
      <c r="L55" s="268">
        <v>8809</v>
      </c>
      <c r="M55" s="268">
        <v>4668</v>
      </c>
      <c r="N55" s="197">
        <v>5000</v>
      </c>
      <c r="O55" s="197">
        <v>5000</v>
      </c>
      <c r="P55" s="196">
        <v>5000</v>
      </c>
      <c r="Q55" s="196">
        <v>5000</v>
      </c>
      <c r="R55" s="196">
        <v>5000</v>
      </c>
      <c r="S55" s="196">
        <v>5000</v>
      </c>
      <c r="T55" s="196">
        <v>5000</v>
      </c>
      <c r="V55" s="545"/>
      <c r="Z55" s="190"/>
    </row>
    <row r="56" spans="1:27" ht="24" customHeight="1">
      <c r="A56" s="320" t="s">
        <v>238</v>
      </c>
      <c r="B56" s="323"/>
      <c r="C56" s="323"/>
      <c r="D56" s="321" t="s">
        <v>239</v>
      </c>
      <c r="E56" s="323"/>
      <c r="F56" s="323"/>
      <c r="G56" s="323"/>
      <c r="H56" s="323"/>
      <c r="I56" s="323"/>
      <c r="J56" s="323"/>
      <c r="K56" s="323"/>
      <c r="L56" s="268">
        <v>7615</v>
      </c>
      <c r="M56" s="268">
        <v>7495</v>
      </c>
      <c r="N56" s="197">
        <v>8000</v>
      </c>
      <c r="O56" s="197">
        <v>7500</v>
      </c>
      <c r="P56" s="196">
        <v>7500</v>
      </c>
      <c r="Q56" s="196">
        <v>7500</v>
      </c>
      <c r="R56" s="196">
        <v>7500</v>
      </c>
      <c r="S56" s="196">
        <v>7500</v>
      </c>
      <c r="T56" s="196">
        <v>7500</v>
      </c>
      <c r="V56" s="545"/>
    </row>
    <row r="57" spans="1:27" ht="24" customHeight="1">
      <c r="A57" s="320" t="s">
        <v>231</v>
      </c>
      <c r="B57" s="255"/>
      <c r="C57" s="255"/>
      <c r="D57" s="320" t="s">
        <v>232</v>
      </c>
      <c r="E57" s="539"/>
      <c r="F57" s="539"/>
      <c r="G57" s="539"/>
      <c r="H57" s="539"/>
      <c r="I57" s="539"/>
      <c r="J57" s="539"/>
      <c r="K57" s="539"/>
      <c r="L57" s="268">
        <v>0</v>
      </c>
      <c r="M57" s="268">
        <v>0</v>
      </c>
      <c r="N57" s="197">
        <v>2000</v>
      </c>
      <c r="O57" s="197">
        <v>0</v>
      </c>
      <c r="P57" s="196">
        <v>0</v>
      </c>
      <c r="Q57" s="196">
        <v>2000</v>
      </c>
      <c r="R57" s="196">
        <v>2000</v>
      </c>
      <c r="S57" s="196">
        <v>2000</v>
      </c>
      <c r="T57" s="196">
        <v>2000</v>
      </c>
      <c r="V57" s="545"/>
      <c r="Z57" s="187"/>
    </row>
    <row r="58" spans="1:27" ht="24" customHeight="1">
      <c r="A58" s="320" t="s">
        <v>66</v>
      </c>
      <c r="B58" s="255"/>
      <c r="C58" s="255"/>
      <c r="D58" s="320" t="s">
        <v>7</v>
      </c>
      <c r="E58" s="255"/>
      <c r="F58" s="255"/>
      <c r="G58" s="255"/>
      <c r="H58" s="255"/>
      <c r="I58" s="255"/>
      <c r="J58" s="255"/>
      <c r="K58" s="255"/>
      <c r="L58" s="264">
        <v>125350</v>
      </c>
      <c r="M58" s="264">
        <v>11840</v>
      </c>
      <c r="N58" s="189">
        <v>3000</v>
      </c>
      <c r="O58" s="189">
        <v>15000</v>
      </c>
      <c r="P58" s="188">
        <v>15000</v>
      </c>
      <c r="Q58" s="188">
        <v>15000</v>
      </c>
      <c r="R58" s="188">
        <v>15000</v>
      </c>
      <c r="S58" s="188">
        <v>15000</v>
      </c>
      <c r="T58" s="188">
        <v>15000</v>
      </c>
      <c r="V58" s="545"/>
    </row>
    <row r="59" spans="1:27" ht="24" customHeight="1">
      <c r="A59" s="320" t="s">
        <v>1400</v>
      </c>
      <c r="B59" s="566"/>
      <c r="C59" s="566"/>
      <c r="D59" s="320" t="s">
        <v>1193</v>
      </c>
      <c r="E59" s="566"/>
      <c r="F59" s="566"/>
      <c r="G59" s="566"/>
      <c r="H59" s="566"/>
      <c r="I59" s="566"/>
      <c r="J59" s="566"/>
      <c r="K59" s="566"/>
      <c r="L59" s="268">
        <v>0</v>
      </c>
      <c r="M59" s="268">
        <v>0</v>
      </c>
      <c r="N59" s="197">
        <v>0</v>
      </c>
      <c r="O59" s="197">
        <v>0</v>
      </c>
      <c r="P59" s="196">
        <f>ROUND(36*150,0)</f>
        <v>5400</v>
      </c>
      <c r="Q59" s="196">
        <v>0</v>
      </c>
      <c r="R59" s="196">
        <v>0</v>
      </c>
      <c r="S59" s="196">
        <v>0</v>
      </c>
      <c r="T59" s="196">
        <v>0</v>
      </c>
      <c r="V59" s="545"/>
      <c r="Z59" s="187"/>
    </row>
    <row r="60" spans="1:27" ht="24" customHeight="1">
      <c r="A60" s="320" t="s">
        <v>1114</v>
      </c>
      <c r="B60" s="255"/>
      <c r="C60" s="255"/>
      <c r="D60" s="514" t="s">
        <v>1295</v>
      </c>
      <c r="E60" s="255"/>
      <c r="F60" s="255"/>
      <c r="G60" s="255"/>
      <c r="H60" s="255"/>
      <c r="I60" s="255"/>
      <c r="J60" s="255"/>
      <c r="K60" s="255"/>
      <c r="L60" s="270">
        <v>0</v>
      </c>
      <c r="M60" s="270">
        <v>2479</v>
      </c>
      <c r="N60" s="202">
        <v>5250</v>
      </c>
      <c r="O60" s="202">
        <f>O404</f>
        <v>2500</v>
      </c>
      <c r="P60" s="201">
        <f t="shared" ref="P60:T60" si="7">P404</f>
        <v>2500</v>
      </c>
      <c r="Q60" s="201">
        <f t="shared" si="7"/>
        <v>2500</v>
      </c>
      <c r="R60" s="201">
        <f t="shared" si="7"/>
        <v>2500</v>
      </c>
      <c r="S60" s="201">
        <f t="shared" si="7"/>
        <v>2500</v>
      </c>
      <c r="T60" s="201">
        <f t="shared" si="7"/>
        <v>2500</v>
      </c>
      <c r="U60" s="401"/>
      <c r="V60" s="546"/>
    </row>
    <row r="61" spans="1:27" ht="15" customHeight="1">
      <c r="A61" s="255"/>
      <c r="B61" s="255"/>
      <c r="C61" s="255"/>
      <c r="D61" s="323"/>
      <c r="E61" s="323"/>
      <c r="F61" s="323"/>
      <c r="G61" s="323"/>
      <c r="H61" s="323"/>
      <c r="I61" s="323"/>
      <c r="J61" s="323"/>
      <c r="K61" s="323"/>
      <c r="L61" s="271"/>
      <c r="M61" s="271"/>
      <c r="N61" s="204"/>
      <c r="O61" s="204"/>
      <c r="P61" s="203"/>
      <c r="Q61" s="203"/>
      <c r="R61" s="203"/>
      <c r="S61" s="203"/>
      <c r="T61" s="203"/>
    </row>
    <row r="62" spans="1:27" s="255" customFormat="1" ht="24" customHeight="1">
      <c r="K62" s="324" t="s">
        <v>595</v>
      </c>
      <c r="L62" s="273">
        <f t="shared" ref="L62:T62" si="8">SUM(L9:L61)</f>
        <v>13314810</v>
      </c>
      <c r="M62" s="273">
        <f t="shared" si="8"/>
        <v>13445145</v>
      </c>
      <c r="N62" s="274">
        <f t="shared" si="8"/>
        <v>13726625</v>
      </c>
      <c r="O62" s="274">
        <f t="shared" si="8"/>
        <v>13917067</v>
      </c>
      <c r="P62" s="273">
        <f t="shared" si="8"/>
        <v>14200637</v>
      </c>
      <c r="Q62" s="273">
        <f t="shared" si="8"/>
        <v>14310727</v>
      </c>
      <c r="R62" s="273">
        <f t="shared" si="8"/>
        <v>14469180</v>
      </c>
      <c r="S62" s="273">
        <f t="shared" si="8"/>
        <v>14631787</v>
      </c>
      <c r="T62" s="273">
        <f t="shared" si="8"/>
        <v>14748863</v>
      </c>
      <c r="U62" s="542"/>
      <c r="V62" s="699"/>
    </row>
    <row r="63" spans="1:27" ht="15" customHeight="1">
      <c r="A63" s="549"/>
      <c r="B63" s="549"/>
      <c r="C63" s="549"/>
      <c r="D63" s="549"/>
      <c r="E63" s="549"/>
      <c r="F63" s="549"/>
      <c r="G63" s="549"/>
      <c r="H63" s="549"/>
      <c r="I63" s="549"/>
      <c r="J63" s="549"/>
      <c r="K63" s="549"/>
      <c r="L63" s="271"/>
      <c r="M63" s="271"/>
      <c r="N63" s="204"/>
      <c r="O63" s="204"/>
      <c r="P63" s="203"/>
      <c r="Q63" s="203"/>
      <c r="R63" s="203"/>
      <c r="S63" s="203"/>
      <c r="T63" s="203"/>
    </row>
    <row r="64" spans="1:27" ht="24" customHeight="1">
      <c r="A64" s="324" t="s">
        <v>609</v>
      </c>
      <c r="B64" s="255"/>
      <c r="C64" s="255"/>
      <c r="D64" s="255"/>
      <c r="E64" s="255"/>
      <c r="F64" s="255"/>
      <c r="G64" s="255"/>
      <c r="H64" s="255"/>
      <c r="I64" s="255"/>
      <c r="J64" s="255"/>
      <c r="K64" s="255"/>
      <c r="L64" s="271"/>
      <c r="M64" s="271"/>
      <c r="N64" s="204"/>
      <c r="O64" s="204"/>
      <c r="P64" s="203"/>
      <c r="Q64" s="203"/>
      <c r="R64" s="203"/>
      <c r="S64" s="203"/>
      <c r="T64" s="203"/>
      <c r="X64" s="535"/>
      <c r="Y64" s="528"/>
      <c r="Z64" s="689"/>
      <c r="AA64" s="447"/>
    </row>
    <row r="65" spans="1:58" ht="24" customHeight="1">
      <c r="A65" s="320" t="s">
        <v>72</v>
      </c>
      <c r="B65" s="255"/>
      <c r="C65" s="255"/>
      <c r="D65" s="320" t="s">
        <v>79</v>
      </c>
      <c r="E65" s="255"/>
      <c r="F65" s="255"/>
      <c r="G65" s="255"/>
      <c r="H65" s="255"/>
      <c r="I65" s="255"/>
      <c r="J65" s="255"/>
      <c r="K65" s="255"/>
      <c r="L65" s="268">
        <v>9605</v>
      </c>
      <c r="M65" s="268">
        <v>9535</v>
      </c>
      <c r="N65" s="197">
        <v>11000</v>
      </c>
      <c r="O65" s="197">
        <v>11000</v>
      </c>
      <c r="P65" s="196">
        <v>11000</v>
      </c>
      <c r="Q65" s="196">
        <v>11000</v>
      </c>
      <c r="R65" s="196">
        <v>11000</v>
      </c>
      <c r="S65" s="196">
        <v>11000</v>
      </c>
      <c r="T65" s="196">
        <v>11000</v>
      </c>
      <c r="V65" s="487"/>
      <c r="W65" s="488"/>
      <c r="X65" s="700"/>
      <c r="Y65" s="701"/>
      <c r="Z65" s="636"/>
      <c r="AA65" s="447"/>
    </row>
    <row r="66" spans="1:58" ht="24" customHeight="1">
      <c r="A66" s="320" t="s">
        <v>71</v>
      </c>
      <c r="B66" s="255"/>
      <c r="C66" s="255"/>
      <c r="D66" s="320" t="s">
        <v>78</v>
      </c>
      <c r="E66" s="255"/>
      <c r="F66" s="255"/>
      <c r="G66" s="255"/>
      <c r="H66" s="255"/>
      <c r="I66" s="255"/>
      <c r="J66" s="255"/>
      <c r="K66" s="255"/>
      <c r="L66" s="268">
        <v>1000</v>
      </c>
      <c r="M66" s="268">
        <v>1000</v>
      </c>
      <c r="N66" s="197">
        <v>1000</v>
      </c>
      <c r="O66" s="197">
        <v>1000</v>
      </c>
      <c r="P66" s="196">
        <v>1000</v>
      </c>
      <c r="Q66" s="196">
        <v>1000</v>
      </c>
      <c r="R66" s="196">
        <v>1000</v>
      </c>
      <c r="S66" s="196">
        <v>1000</v>
      </c>
      <c r="T66" s="196">
        <v>1000</v>
      </c>
      <c r="V66" s="487"/>
      <c r="W66" s="488"/>
      <c r="X66" s="700"/>
      <c r="Y66" s="701"/>
      <c r="Z66" s="636"/>
      <c r="AA66" s="447"/>
    </row>
    <row r="67" spans="1:58" ht="24" customHeight="1">
      <c r="A67" s="320" t="s">
        <v>70</v>
      </c>
      <c r="B67" s="255"/>
      <c r="C67" s="255"/>
      <c r="D67" s="320" t="s">
        <v>77</v>
      </c>
      <c r="E67" s="255"/>
      <c r="F67" s="255"/>
      <c r="G67" s="255"/>
      <c r="H67" s="255"/>
      <c r="I67" s="255"/>
      <c r="J67" s="255"/>
      <c r="K67" s="255"/>
      <c r="L67" s="268">
        <v>10137</v>
      </c>
      <c r="M67" s="268">
        <v>7268</v>
      </c>
      <c r="N67" s="197">
        <v>11000</v>
      </c>
      <c r="O67" s="197">
        <v>11000</v>
      </c>
      <c r="P67" s="196">
        <v>11000</v>
      </c>
      <c r="Q67" s="196">
        <v>11000</v>
      </c>
      <c r="R67" s="196">
        <v>11000</v>
      </c>
      <c r="S67" s="196">
        <v>11000</v>
      </c>
      <c r="T67" s="196">
        <v>11000</v>
      </c>
      <c r="V67" s="487"/>
      <c r="W67" s="488"/>
      <c r="X67" s="700"/>
      <c r="Y67" s="701"/>
      <c r="Z67" s="636"/>
      <c r="AA67" s="447"/>
    </row>
    <row r="68" spans="1:58" ht="24" customHeight="1">
      <c r="A68" s="320" t="s">
        <v>69</v>
      </c>
      <c r="B68" s="255"/>
      <c r="C68" s="255"/>
      <c r="D68" s="320" t="s">
        <v>76</v>
      </c>
      <c r="E68" s="255"/>
      <c r="F68" s="255"/>
      <c r="G68" s="255"/>
      <c r="H68" s="255"/>
      <c r="I68" s="255"/>
      <c r="J68" s="255"/>
      <c r="K68" s="255"/>
      <c r="L68" s="268">
        <v>4267</v>
      </c>
      <c r="M68" s="268">
        <v>1031</v>
      </c>
      <c r="N68" s="197">
        <v>6500</v>
      </c>
      <c r="O68" s="197">
        <v>1000</v>
      </c>
      <c r="P68" s="196">
        <v>6500</v>
      </c>
      <c r="Q68" s="196">
        <v>6500</v>
      </c>
      <c r="R68" s="196">
        <v>6500</v>
      </c>
      <c r="S68" s="196">
        <v>6500</v>
      </c>
      <c r="T68" s="196">
        <v>6500</v>
      </c>
      <c r="V68" s="487"/>
      <c r="W68" s="488"/>
      <c r="X68" s="700"/>
      <c r="Y68" s="701"/>
      <c r="Z68" s="636"/>
      <c r="AA68" s="447"/>
    </row>
    <row r="69" spans="1:58" ht="24" customHeight="1">
      <c r="A69" s="320" t="s">
        <v>68</v>
      </c>
      <c r="B69" s="255"/>
      <c r="C69" s="255"/>
      <c r="D69" s="320" t="s">
        <v>75</v>
      </c>
      <c r="E69" s="255"/>
      <c r="F69" s="255"/>
      <c r="G69" s="255"/>
      <c r="H69" s="255"/>
      <c r="I69" s="255"/>
      <c r="J69" s="255"/>
      <c r="K69" s="255"/>
      <c r="L69" s="268">
        <v>47205</v>
      </c>
      <c r="M69" s="268">
        <v>47190</v>
      </c>
      <c r="N69" s="197">
        <v>52000</v>
      </c>
      <c r="O69" s="197">
        <v>52000</v>
      </c>
      <c r="P69" s="196">
        <v>52000</v>
      </c>
      <c r="Q69" s="196">
        <v>52000</v>
      </c>
      <c r="R69" s="196">
        <v>52000</v>
      </c>
      <c r="S69" s="196">
        <v>52000</v>
      </c>
      <c r="T69" s="196">
        <v>52000</v>
      </c>
      <c r="V69" s="487"/>
      <c r="W69" s="488"/>
      <c r="X69" s="488"/>
      <c r="Y69" s="488"/>
      <c r="Z69" s="636"/>
      <c r="AA69" s="447"/>
    </row>
    <row r="70" spans="1:58" ht="24" customHeight="1">
      <c r="A70" s="320" t="s">
        <v>1183</v>
      </c>
      <c r="B70" s="255"/>
      <c r="C70" s="255"/>
      <c r="D70" s="320" t="s">
        <v>74</v>
      </c>
      <c r="E70" s="255"/>
      <c r="F70" s="255"/>
      <c r="G70" s="255"/>
      <c r="H70" s="255"/>
      <c r="I70" s="255"/>
      <c r="J70" s="255"/>
      <c r="K70" s="255"/>
      <c r="L70" s="268">
        <v>268329</v>
      </c>
      <c r="M70" s="268">
        <v>275169</v>
      </c>
      <c r="N70" s="197">
        <v>351153</v>
      </c>
      <c r="O70" s="197">
        <v>351153</v>
      </c>
      <c r="P70" s="196">
        <v>308487</v>
      </c>
      <c r="Q70" s="196">
        <v>319284</v>
      </c>
      <c r="R70" s="196">
        <v>330459</v>
      </c>
      <c r="S70" s="196">
        <v>342025</v>
      </c>
      <c r="T70" s="196">
        <v>353996</v>
      </c>
      <c r="V70" s="487"/>
      <c r="W70" s="488"/>
      <c r="X70" s="761"/>
      <c r="Y70" s="761"/>
      <c r="Z70" s="636"/>
      <c r="AA70" s="447"/>
      <c r="AB70" s="208"/>
    </row>
    <row r="71" spans="1:58" s="182" customFormat="1" ht="24" customHeight="1">
      <c r="A71" s="320" t="s">
        <v>1004</v>
      </c>
      <c r="B71" s="255"/>
      <c r="C71" s="255"/>
      <c r="D71" s="320" t="s">
        <v>73</v>
      </c>
      <c r="E71" s="255"/>
      <c r="F71" s="255"/>
      <c r="G71" s="255"/>
      <c r="H71" s="255"/>
      <c r="I71" s="255"/>
      <c r="J71" s="255"/>
      <c r="K71" s="255"/>
      <c r="L71" s="268">
        <v>0</v>
      </c>
      <c r="M71" s="268">
        <v>22646</v>
      </c>
      <c r="N71" s="197">
        <v>0</v>
      </c>
      <c r="O71" s="197">
        <v>0</v>
      </c>
      <c r="P71" s="196">
        <v>30000</v>
      </c>
      <c r="Q71" s="196">
        <v>30000</v>
      </c>
      <c r="R71" s="196">
        <v>30000</v>
      </c>
      <c r="S71" s="196">
        <v>30000</v>
      </c>
      <c r="T71" s="196">
        <v>30000</v>
      </c>
      <c r="U71" s="251"/>
      <c r="V71" s="487"/>
      <c r="W71" s="488"/>
      <c r="X71" s="700"/>
      <c r="Y71" s="702"/>
      <c r="Z71" s="636"/>
      <c r="AA71" s="447"/>
      <c r="AB71" s="253"/>
      <c r="AC71" s="253"/>
      <c r="AD71" s="253"/>
      <c r="AE71" s="253"/>
      <c r="AF71" s="253"/>
      <c r="AG71" s="253"/>
      <c r="AH71" s="253"/>
      <c r="AI71" s="253"/>
      <c r="AJ71" s="253"/>
      <c r="AK71" s="253"/>
      <c r="AL71" s="253"/>
      <c r="AM71" s="253"/>
      <c r="AN71" s="253"/>
      <c r="AO71" s="253"/>
      <c r="AP71" s="253"/>
      <c r="AQ71" s="253"/>
      <c r="AR71" s="253"/>
      <c r="AS71" s="253"/>
      <c r="AT71" s="253"/>
      <c r="AU71" s="253"/>
      <c r="AV71" s="253"/>
      <c r="AW71" s="253"/>
      <c r="AX71" s="253"/>
      <c r="AY71" s="253"/>
      <c r="AZ71" s="253"/>
      <c r="BA71" s="253"/>
      <c r="BB71" s="253"/>
      <c r="BC71" s="253"/>
      <c r="BD71" s="253"/>
      <c r="BE71" s="253"/>
      <c r="BF71" s="253"/>
    </row>
    <row r="72" spans="1:58" ht="24" customHeight="1">
      <c r="A72" s="320" t="s">
        <v>67</v>
      </c>
      <c r="B72" s="255"/>
      <c r="C72" s="255"/>
      <c r="D72" s="320" t="s">
        <v>14</v>
      </c>
      <c r="E72" s="255"/>
      <c r="F72" s="255"/>
      <c r="G72" s="255"/>
      <c r="H72" s="255"/>
      <c r="I72" s="255"/>
      <c r="J72" s="255"/>
      <c r="K72" s="255"/>
      <c r="L72" s="264">
        <v>0</v>
      </c>
      <c r="M72" s="264">
        <v>244</v>
      </c>
      <c r="N72" s="189">
        <v>500</v>
      </c>
      <c r="O72" s="189">
        <v>500</v>
      </c>
      <c r="P72" s="188">
        <v>500</v>
      </c>
      <c r="Q72" s="188">
        <v>500</v>
      </c>
      <c r="R72" s="188">
        <v>500</v>
      </c>
      <c r="S72" s="188">
        <v>500</v>
      </c>
      <c r="T72" s="188">
        <v>500</v>
      </c>
      <c r="V72" s="487"/>
      <c r="W72" s="488"/>
      <c r="X72" s="700"/>
      <c r="Y72" s="702"/>
      <c r="Z72" s="636"/>
      <c r="AA72" s="447"/>
    </row>
    <row r="73" spans="1:58" ht="24" customHeight="1">
      <c r="A73" s="320" t="s">
        <v>81</v>
      </c>
      <c r="B73" s="255"/>
      <c r="C73" s="255"/>
      <c r="D73" s="320" t="s">
        <v>8</v>
      </c>
      <c r="E73" s="255"/>
      <c r="F73" s="255"/>
      <c r="G73" s="255"/>
      <c r="H73" s="255"/>
      <c r="I73" s="255"/>
      <c r="J73" s="255"/>
      <c r="K73" s="255"/>
      <c r="L73" s="264">
        <v>32561</v>
      </c>
      <c r="M73" s="264">
        <v>36794</v>
      </c>
      <c r="N73" s="189">
        <v>47482</v>
      </c>
      <c r="O73" s="189">
        <v>47482</v>
      </c>
      <c r="P73" s="188">
        <v>42886</v>
      </c>
      <c r="Q73" s="188">
        <v>52814</v>
      </c>
      <c r="R73" s="188">
        <v>57410</v>
      </c>
      <c r="S73" s="188">
        <v>62450</v>
      </c>
      <c r="T73" s="188">
        <v>67962</v>
      </c>
      <c r="V73" s="487"/>
      <c r="W73" s="488"/>
      <c r="X73" s="700"/>
      <c r="Y73" s="702"/>
      <c r="Z73" s="636"/>
      <c r="AA73" s="447"/>
    </row>
    <row r="74" spans="1:58" ht="24" customHeight="1">
      <c r="A74" s="320" t="s">
        <v>80</v>
      </c>
      <c r="B74" s="255"/>
      <c r="C74" s="255"/>
      <c r="D74" s="320" t="s">
        <v>9</v>
      </c>
      <c r="E74" s="255"/>
      <c r="F74" s="255"/>
      <c r="G74" s="255"/>
      <c r="H74" s="255"/>
      <c r="I74" s="255"/>
      <c r="J74" s="255"/>
      <c r="K74" s="255"/>
      <c r="L74" s="264">
        <v>23994</v>
      </c>
      <c r="M74" s="264">
        <v>25473</v>
      </c>
      <c r="N74" s="189">
        <v>31887</v>
      </c>
      <c r="O74" s="189">
        <v>31887</v>
      </c>
      <c r="P74" s="196">
        <v>31014</v>
      </c>
      <c r="Q74" s="196">
        <v>32099</v>
      </c>
      <c r="R74" s="196">
        <v>33222</v>
      </c>
      <c r="S74" s="196">
        <v>34385</v>
      </c>
      <c r="T74" s="196">
        <v>35588</v>
      </c>
      <c r="V74" s="487"/>
      <c r="W74" s="488"/>
      <c r="X74" s="700"/>
      <c r="Y74" s="702"/>
      <c r="Z74" s="636"/>
      <c r="AA74" s="447"/>
    </row>
    <row r="75" spans="1:58" ht="24" customHeight="1">
      <c r="A75" s="320" t="s">
        <v>626</v>
      </c>
      <c r="B75" s="255"/>
      <c r="C75" s="255"/>
      <c r="D75" s="320" t="s">
        <v>13</v>
      </c>
      <c r="E75" s="255"/>
      <c r="F75" s="255"/>
      <c r="G75" s="255"/>
      <c r="H75" s="255"/>
      <c r="I75" s="255"/>
      <c r="J75" s="255"/>
      <c r="K75" s="255"/>
      <c r="L75" s="266">
        <v>69719</v>
      </c>
      <c r="M75" s="266">
        <v>69776</v>
      </c>
      <c r="N75" s="194">
        <v>114769</v>
      </c>
      <c r="O75" s="194">
        <v>114769</v>
      </c>
      <c r="P75" s="193">
        <v>85972</v>
      </c>
      <c r="Q75" s="193">
        <v>92850</v>
      </c>
      <c r="R75" s="193">
        <v>100278</v>
      </c>
      <c r="S75" s="193">
        <v>108300</v>
      </c>
      <c r="T75" s="193">
        <v>116964</v>
      </c>
      <c r="V75" s="487"/>
      <c r="W75" s="488"/>
      <c r="X75" s="487"/>
      <c r="Y75" s="488"/>
      <c r="Z75" s="190"/>
      <c r="AA75" s="190"/>
      <c r="AB75" s="208"/>
    </row>
    <row r="76" spans="1:58" ht="24" customHeight="1">
      <c r="A76" s="320" t="s">
        <v>627</v>
      </c>
      <c r="B76" s="255"/>
      <c r="C76" s="255"/>
      <c r="D76" s="320" t="s">
        <v>187</v>
      </c>
      <c r="E76" s="255"/>
      <c r="F76" s="255"/>
      <c r="G76" s="255"/>
      <c r="H76" s="255"/>
      <c r="I76" s="255"/>
      <c r="J76" s="255"/>
      <c r="K76" s="255"/>
      <c r="L76" s="266">
        <v>580</v>
      </c>
      <c r="M76" s="266">
        <v>403</v>
      </c>
      <c r="N76" s="194">
        <v>559</v>
      </c>
      <c r="O76" s="194">
        <f>ROUND(185+(7*(59-22)),0)</f>
        <v>444</v>
      </c>
      <c r="P76" s="193">
        <v>447</v>
      </c>
      <c r="Q76" s="193">
        <v>451</v>
      </c>
      <c r="R76" s="193">
        <v>456</v>
      </c>
      <c r="S76" s="193">
        <v>461</v>
      </c>
      <c r="T76" s="193">
        <v>466</v>
      </c>
      <c r="V76" s="487"/>
      <c r="W76" s="488"/>
      <c r="X76" s="487"/>
      <c r="Y76" s="488"/>
      <c r="Z76" s="187"/>
      <c r="AA76" s="187"/>
      <c r="AB76" s="208"/>
    </row>
    <row r="77" spans="1:58" ht="24" customHeight="1">
      <c r="A77" s="320" t="s">
        <v>628</v>
      </c>
      <c r="B77" s="255"/>
      <c r="C77" s="255"/>
      <c r="D77" s="320" t="s">
        <v>652</v>
      </c>
      <c r="E77" s="255"/>
      <c r="F77" s="255"/>
      <c r="G77" s="255"/>
      <c r="H77" s="255"/>
      <c r="I77" s="255"/>
      <c r="J77" s="255"/>
      <c r="K77" s="255"/>
      <c r="L77" s="266">
        <v>5202</v>
      </c>
      <c r="M77" s="266">
        <v>4252</v>
      </c>
      <c r="N77" s="194">
        <v>6376</v>
      </c>
      <c r="O77" s="194">
        <f>ROUND(2347+(7*470),0)</f>
        <v>5637</v>
      </c>
      <c r="P77" s="193">
        <v>5139</v>
      </c>
      <c r="Q77" s="193">
        <v>5396</v>
      </c>
      <c r="R77" s="193">
        <v>5666</v>
      </c>
      <c r="S77" s="193">
        <v>5949</v>
      </c>
      <c r="T77" s="193">
        <v>6246</v>
      </c>
      <c r="V77" s="487"/>
      <c r="W77" s="488"/>
      <c r="X77" s="487"/>
      <c r="Y77" s="488"/>
      <c r="Z77" s="187"/>
      <c r="AA77" s="187"/>
      <c r="AB77" s="208"/>
    </row>
    <row r="78" spans="1:58" ht="24" customHeight="1">
      <c r="A78" s="320" t="s">
        <v>653</v>
      </c>
      <c r="B78" s="255"/>
      <c r="C78" s="255"/>
      <c r="D78" s="320" t="s">
        <v>654</v>
      </c>
      <c r="E78" s="255"/>
      <c r="F78" s="255"/>
      <c r="G78" s="255"/>
      <c r="H78" s="255"/>
      <c r="I78" s="255"/>
      <c r="J78" s="255"/>
      <c r="K78" s="255"/>
      <c r="L78" s="266">
        <v>562</v>
      </c>
      <c r="M78" s="266">
        <v>550</v>
      </c>
      <c r="N78" s="194">
        <v>775</v>
      </c>
      <c r="O78" s="194">
        <f>ROUND(246+(49*7),0)</f>
        <v>589</v>
      </c>
      <c r="P78" s="193">
        <v>549</v>
      </c>
      <c r="Q78" s="193">
        <v>565</v>
      </c>
      <c r="R78" s="193">
        <v>582</v>
      </c>
      <c r="S78" s="193">
        <v>599</v>
      </c>
      <c r="T78" s="193">
        <v>617</v>
      </c>
      <c r="V78" s="487"/>
      <c r="W78" s="488"/>
      <c r="X78" s="487"/>
      <c r="Y78" s="488"/>
      <c r="Z78" s="187"/>
      <c r="AA78" s="187"/>
      <c r="AB78" s="208"/>
    </row>
    <row r="79" spans="1:58" ht="24" customHeight="1">
      <c r="A79" s="320" t="s">
        <v>797</v>
      </c>
      <c r="B79" s="255"/>
      <c r="C79" s="255"/>
      <c r="D79" s="759" t="s">
        <v>811</v>
      </c>
      <c r="E79" s="759"/>
      <c r="F79" s="759"/>
      <c r="G79" s="759"/>
      <c r="H79" s="759"/>
      <c r="I79" s="759"/>
      <c r="J79" s="759"/>
      <c r="K79" s="759"/>
      <c r="L79" s="265">
        <v>96881</v>
      </c>
      <c r="M79" s="265">
        <v>76151</v>
      </c>
      <c r="N79" s="194">
        <v>81548</v>
      </c>
      <c r="O79" s="194">
        <v>81548</v>
      </c>
      <c r="P79" s="193">
        <v>0</v>
      </c>
      <c r="Q79" s="193">
        <v>0</v>
      </c>
      <c r="R79" s="193">
        <v>0</v>
      </c>
      <c r="S79" s="193">
        <v>0</v>
      </c>
      <c r="T79" s="193">
        <v>0</v>
      </c>
      <c r="V79" s="487"/>
      <c r="W79" s="488"/>
      <c r="X79" s="487"/>
      <c r="Y79" s="488"/>
      <c r="Z79" s="187"/>
      <c r="AA79" s="187"/>
    </row>
    <row r="80" spans="1:58" ht="24" customHeight="1">
      <c r="A80" s="320" t="s">
        <v>798</v>
      </c>
      <c r="B80" s="255"/>
      <c r="C80" s="255"/>
      <c r="D80" s="759" t="s">
        <v>812</v>
      </c>
      <c r="E80" s="759"/>
      <c r="F80" s="759"/>
      <c r="G80" s="759"/>
      <c r="H80" s="759"/>
      <c r="I80" s="759"/>
      <c r="J80" s="759"/>
      <c r="K80" s="759"/>
      <c r="L80" s="265">
        <v>682</v>
      </c>
      <c r="M80" s="265">
        <v>643</v>
      </c>
      <c r="N80" s="194">
        <v>644</v>
      </c>
      <c r="O80" s="194">
        <f>ROUND(266+(7*54),0)</f>
        <v>644</v>
      </c>
      <c r="P80" s="193">
        <v>559</v>
      </c>
      <c r="Q80" s="193">
        <v>565</v>
      </c>
      <c r="R80" s="193">
        <v>571</v>
      </c>
      <c r="S80" s="193">
        <v>577</v>
      </c>
      <c r="T80" s="193">
        <v>583</v>
      </c>
      <c r="V80" s="487"/>
      <c r="W80" s="488"/>
      <c r="X80" s="487"/>
      <c r="Y80" s="488"/>
      <c r="Z80" s="187"/>
      <c r="AA80" s="187"/>
    </row>
    <row r="81" spans="1:27" ht="24" customHeight="1">
      <c r="A81" s="320" t="s">
        <v>799</v>
      </c>
      <c r="B81" s="255"/>
      <c r="C81" s="255"/>
      <c r="D81" s="759" t="s">
        <v>813</v>
      </c>
      <c r="E81" s="759"/>
      <c r="F81" s="759"/>
      <c r="G81" s="759"/>
      <c r="H81" s="759"/>
      <c r="I81" s="759"/>
      <c r="J81" s="759"/>
      <c r="K81" s="759"/>
      <c r="L81" s="265">
        <v>7202</v>
      </c>
      <c r="M81" s="265">
        <v>4432</v>
      </c>
      <c r="N81" s="194">
        <v>4593</v>
      </c>
      <c r="O81" s="194">
        <v>4593</v>
      </c>
      <c r="P81" s="193">
        <v>0</v>
      </c>
      <c r="Q81" s="193">
        <v>0</v>
      </c>
      <c r="R81" s="193">
        <v>0</v>
      </c>
      <c r="S81" s="193">
        <v>0</v>
      </c>
      <c r="T81" s="193">
        <v>0</v>
      </c>
      <c r="V81" s="487"/>
      <c r="W81" s="488"/>
      <c r="X81" s="487"/>
      <c r="Y81" s="488"/>
      <c r="Z81" s="187"/>
      <c r="AA81" s="187"/>
    </row>
    <row r="82" spans="1:27" ht="24" customHeight="1">
      <c r="A82" s="320" t="s">
        <v>800</v>
      </c>
      <c r="B82" s="255"/>
      <c r="C82" s="255"/>
      <c r="D82" s="759" t="s">
        <v>814</v>
      </c>
      <c r="E82" s="759"/>
      <c r="F82" s="759"/>
      <c r="G82" s="759"/>
      <c r="H82" s="759"/>
      <c r="I82" s="759"/>
      <c r="J82" s="759"/>
      <c r="K82" s="759"/>
      <c r="L82" s="265">
        <v>797</v>
      </c>
      <c r="M82" s="265">
        <v>568</v>
      </c>
      <c r="N82" s="194">
        <v>557</v>
      </c>
      <c r="O82" s="194">
        <v>541</v>
      </c>
      <c r="P82" s="193">
        <v>0</v>
      </c>
      <c r="Q82" s="193">
        <v>0</v>
      </c>
      <c r="R82" s="193">
        <v>0</v>
      </c>
      <c r="S82" s="193">
        <v>0</v>
      </c>
      <c r="T82" s="193">
        <v>0</v>
      </c>
      <c r="V82" s="487"/>
      <c r="W82" s="488"/>
      <c r="X82" s="487"/>
      <c r="Y82" s="488"/>
      <c r="Z82" s="187"/>
      <c r="AA82" s="187"/>
    </row>
    <row r="83" spans="1:27" ht="24" customHeight="1">
      <c r="A83" s="320" t="s">
        <v>90</v>
      </c>
      <c r="B83" s="255"/>
      <c r="C83" s="255"/>
      <c r="D83" s="320" t="s">
        <v>96</v>
      </c>
      <c r="E83" s="255"/>
      <c r="F83" s="255"/>
      <c r="G83" s="255"/>
      <c r="H83" s="255"/>
      <c r="I83" s="255"/>
      <c r="J83" s="255"/>
      <c r="K83" s="255"/>
      <c r="L83" s="268">
        <v>3510</v>
      </c>
      <c r="M83" s="268">
        <v>4624</v>
      </c>
      <c r="N83" s="197">
        <v>5100</v>
      </c>
      <c r="O83" s="197">
        <v>5100</v>
      </c>
      <c r="P83" s="196">
        <f t="shared" ref="P83:T83" si="9">4000+1100</f>
        <v>5100</v>
      </c>
      <c r="Q83" s="196">
        <f t="shared" si="9"/>
        <v>5100</v>
      </c>
      <c r="R83" s="196">
        <f t="shared" si="9"/>
        <v>5100</v>
      </c>
      <c r="S83" s="196">
        <f t="shared" si="9"/>
        <v>5100</v>
      </c>
      <c r="T83" s="196">
        <f t="shared" si="9"/>
        <v>5100</v>
      </c>
    </row>
    <row r="84" spans="1:27" ht="24" customHeight="1">
      <c r="A84" s="320" t="s">
        <v>89</v>
      </c>
      <c r="B84" s="255"/>
      <c r="C84" s="255"/>
      <c r="D84" s="320" t="s">
        <v>1166</v>
      </c>
      <c r="E84" s="255"/>
      <c r="F84" s="255"/>
      <c r="G84" s="255"/>
      <c r="H84" s="255"/>
      <c r="I84" s="255"/>
      <c r="J84" s="255"/>
      <c r="K84" s="255"/>
      <c r="L84" s="268">
        <v>6310</v>
      </c>
      <c r="M84" s="268">
        <v>7843</v>
      </c>
      <c r="N84" s="197">
        <v>11000</v>
      </c>
      <c r="O84" s="197">
        <v>11000</v>
      </c>
      <c r="P84" s="196">
        <f t="shared" ref="P84:T84" si="10">9000+2000</f>
        <v>11000</v>
      </c>
      <c r="Q84" s="196">
        <f t="shared" si="10"/>
        <v>11000</v>
      </c>
      <c r="R84" s="196">
        <f t="shared" si="10"/>
        <v>11000</v>
      </c>
      <c r="S84" s="196">
        <f t="shared" si="10"/>
        <v>11000</v>
      </c>
      <c r="T84" s="196">
        <f t="shared" si="10"/>
        <v>11000</v>
      </c>
      <c r="V84" s="487"/>
      <c r="W84" s="488"/>
      <c r="X84" s="703"/>
    </row>
    <row r="85" spans="1:27" ht="24" customHeight="1">
      <c r="A85" s="320" t="s">
        <v>88</v>
      </c>
      <c r="B85" s="255"/>
      <c r="C85" s="255"/>
      <c r="D85" s="320" t="s">
        <v>95</v>
      </c>
      <c r="E85" s="255"/>
      <c r="F85" s="255"/>
      <c r="G85" s="255"/>
      <c r="H85" s="255"/>
      <c r="I85" s="255"/>
      <c r="J85" s="255"/>
      <c r="K85" s="255"/>
      <c r="L85" s="268">
        <v>716</v>
      </c>
      <c r="M85" s="268">
        <v>765</v>
      </c>
      <c r="N85" s="197">
        <v>1000</v>
      </c>
      <c r="O85" s="197">
        <v>1000</v>
      </c>
      <c r="P85" s="196">
        <v>1000</v>
      </c>
      <c r="Q85" s="196">
        <v>1000</v>
      </c>
      <c r="R85" s="196">
        <v>1000</v>
      </c>
      <c r="S85" s="196">
        <v>1000</v>
      </c>
      <c r="T85" s="196">
        <v>1000</v>
      </c>
    </row>
    <row r="86" spans="1:27" ht="24" customHeight="1">
      <c r="A86" s="320" t="s">
        <v>87</v>
      </c>
      <c r="B86" s="255"/>
      <c r="C86" s="255"/>
      <c r="D86" s="320" t="s">
        <v>1167</v>
      </c>
      <c r="E86" s="255"/>
      <c r="F86" s="255"/>
      <c r="G86" s="255"/>
      <c r="H86" s="255"/>
      <c r="I86" s="255"/>
      <c r="J86" s="255"/>
      <c r="K86" s="255"/>
      <c r="L86" s="268">
        <v>5356</v>
      </c>
      <c r="M86" s="268">
        <v>3503</v>
      </c>
      <c r="N86" s="197">
        <v>5500</v>
      </c>
      <c r="O86" s="197">
        <v>5500</v>
      </c>
      <c r="P86" s="196">
        <v>5500</v>
      </c>
      <c r="Q86" s="196">
        <v>5500</v>
      </c>
      <c r="R86" s="196">
        <v>5500</v>
      </c>
      <c r="S86" s="196">
        <v>5500</v>
      </c>
      <c r="T86" s="196">
        <v>5500</v>
      </c>
    </row>
    <row r="87" spans="1:27" ht="24" customHeight="1">
      <c r="A87" s="320" t="s">
        <v>1243</v>
      </c>
      <c r="B87" s="450"/>
      <c r="C87" s="450"/>
      <c r="D87" s="320" t="s">
        <v>1244</v>
      </c>
      <c r="E87" s="450"/>
      <c r="F87" s="450"/>
      <c r="G87" s="450"/>
      <c r="H87" s="450"/>
      <c r="I87" s="450"/>
      <c r="J87" s="450"/>
      <c r="K87" s="450"/>
      <c r="L87" s="268">
        <v>0</v>
      </c>
      <c r="M87" s="196">
        <v>11033</v>
      </c>
      <c r="N87" s="197">
        <v>0</v>
      </c>
      <c r="O87" s="197">
        <v>0</v>
      </c>
      <c r="P87" s="196">
        <v>0</v>
      </c>
      <c r="Q87" s="196">
        <v>0</v>
      </c>
      <c r="R87" s="196">
        <v>0</v>
      </c>
      <c r="S87" s="196">
        <v>0</v>
      </c>
      <c r="T87" s="196">
        <v>0</v>
      </c>
      <c r="V87" s="187"/>
    </row>
    <row r="88" spans="1:27" ht="24" customHeight="1">
      <c r="A88" s="320" t="s">
        <v>86</v>
      </c>
      <c r="B88" s="255"/>
      <c r="C88" s="255"/>
      <c r="D88" s="320" t="s">
        <v>240</v>
      </c>
      <c r="E88" s="255"/>
      <c r="F88" s="255"/>
      <c r="G88" s="255"/>
      <c r="H88" s="255"/>
      <c r="I88" s="255"/>
      <c r="J88" s="255"/>
      <c r="K88" s="255"/>
      <c r="L88" s="268">
        <v>19659</v>
      </c>
      <c r="M88" s="268">
        <v>13143</v>
      </c>
      <c r="N88" s="197">
        <v>20000</v>
      </c>
      <c r="O88" s="197">
        <v>20000</v>
      </c>
      <c r="P88" s="196">
        <v>20000</v>
      </c>
      <c r="Q88" s="196">
        <v>20000</v>
      </c>
      <c r="R88" s="196">
        <v>20000</v>
      </c>
      <c r="S88" s="196">
        <v>20000</v>
      </c>
      <c r="T88" s="196">
        <v>20000</v>
      </c>
      <c r="V88" s="187"/>
    </row>
    <row r="89" spans="1:27" ht="24" customHeight="1">
      <c r="A89" s="320" t="s">
        <v>780</v>
      </c>
      <c r="B89" s="255"/>
      <c r="C89" s="255"/>
      <c r="D89" s="320" t="s">
        <v>49</v>
      </c>
      <c r="E89" s="255"/>
      <c r="F89" s="255"/>
      <c r="G89" s="255"/>
      <c r="H89" s="255"/>
      <c r="I89" s="255"/>
      <c r="J89" s="255"/>
      <c r="K89" s="255"/>
      <c r="L89" s="268">
        <v>154</v>
      </c>
      <c r="M89" s="268">
        <v>181</v>
      </c>
      <c r="N89" s="197">
        <v>500</v>
      </c>
      <c r="O89" s="197">
        <v>500</v>
      </c>
      <c r="P89" s="196">
        <v>500</v>
      </c>
      <c r="Q89" s="196">
        <v>500</v>
      </c>
      <c r="R89" s="196">
        <v>500</v>
      </c>
      <c r="S89" s="196">
        <v>500</v>
      </c>
      <c r="T89" s="196">
        <v>500</v>
      </c>
    </row>
    <row r="90" spans="1:27" ht="24" customHeight="1">
      <c r="A90" s="320" t="s">
        <v>209</v>
      </c>
      <c r="B90" s="255"/>
      <c r="C90" s="255"/>
      <c r="D90" s="320" t="s">
        <v>93</v>
      </c>
      <c r="E90" s="255"/>
      <c r="F90" s="255"/>
      <c r="G90" s="255"/>
      <c r="H90" s="255"/>
      <c r="I90" s="255"/>
      <c r="J90" s="255"/>
      <c r="K90" s="255"/>
      <c r="L90" s="268">
        <v>4904</v>
      </c>
      <c r="M90" s="268">
        <v>2468</v>
      </c>
      <c r="N90" s="197">
        <v>8000</v>
      </c>
      <c r="O90" s="197">
        <v>8000</v>
      </c>
      <c r="P90" s="196">
        <v>5000</v>
      </c>
      <c r="Q90" s="196">
        <v>5000</v>
      </c>
      <c r="R90" s="196">
        <v>5000</v>
      </c>
      <c r="S90" s="196">
        <v>5000</v>
      </c>
      <c r="T90" s="196">
        <v>5000</v>
      </c>
    </row>
    <row r="91" spans="1:27" ht="24" customHeight="1">
      <c r="A91" s="320" t="s">
        <v>85</v>
      </c>
      <c r="B91" s="255"/>
      <c r="C91" s="255"/>
      <c r="D91" s="320" t="s">
        <v>94</v>
      </c>
      <c r="E91" s="428"/>
      <c r="F91" s="428"/>
      <c r="G91" s="428"/>
      <c r="H91" s="428"/>
      <c r="I91" s="428"/>
      <c r="J91" s="428"/>
      <c r="K91" s="428"/>
      <c r="L91" s="268">
        <v>-335</v>
      </c>
      <c r="M91" s="268">
        <v>2225</v>
      </c>
      <c r="N91" s="197">
        <v>8000</v>
      </c>
      <c r="O91" s="197">
        <v>8000</v>
      </c>
      <c r="P91" s="196">
        <v>4000</v>
      </c>
      <c r="Q91" s="196">
        <v>4000</v>
      </c>
      <c r="R91" s="196">
        <v>4000</v>
      </c>
      <c r="S91" s="196">
        <v>4000</v>
      </c>
      <c r="T91" s="196">
        <v>4000</v>
      </c>
    </row>
    <row r="92" spans="1:27" ht="24" customHeight="1">
      <c r="A92" s="320" t="s">
        <v>1055</v>
      </c>
      <c r="B92" s="321"/>
      <c r="C92" s="321"/>
      <c r="D92" s="320" t="s">
        <v>1168</v>
      </c>
      <c r="E92" s="321"/>
      <c r="F92" s="321"/>
      <c r="G92" s="321"/>
      <c r="H92" s="321"/>
      <c r="I92" s="321"/>
      <c r="J92" s="321"/>
      <c r="K92" s="321"/>
      <c r="L92" s="264">
        <v>16701</v>
      </c>
      <c r="M92" s="264">
        <v>14004</v>
      </c>
      <c r="N92" s="189">
        <v>17000</v>
      </c>
      <c r="O92" s="189">
        <v>17000</v>
      </c>
      <c r="P92" s="188">
        <v>17000</v>
      </c>
      <c r="Q92" s="188">
        <v>17000</v>
      </c>
      <c r="R92" s="188">
        <v>17000</v>
      </c>
      <c r="S92" s="188">
        <v>17000</v>
      </c>
      <c r="T92" s="188">
        <v>17000</v>
      </c>
    </row>
    <row r="93" spans="1:27" ht="24" customHeight="1">
      <c r="A93" s="320" t="s">
        <v>84</v>
      </c>
      <c r="B93" s="255"/>
      <c r="C93" s="255"/>
      <c r="D93" s="320" t="s">
        <v>10</v>
      </c>
      <c r="E93" s="255"/>
      <c r="F93" s="255"/>
      <c r="G93" s="255"/>
      <c r="H93" s="255"/>
      <c r="I93" s="255"/>
      <c r="J93" s="255"/>
      <c r="K93" s="255"/>
      <c r="L93" s="268">
        <v>8722</v>
      </c>
      <c r="M93" s="268">
        <v>8355</v>
      </c>
      <c r="N93" s="197">
        <v>20000</v>
      </c>
      <c r="O93" s="197">
        <v>20000</v>
      </c>
      <c r="P93" s="196">
        <v>14000</v>
      </c>
      <c r="Q93" s="196">
        <v>14000</v>
      </c>
      <c r="R93" s="196">
        <v>14000</v>
      </c>
      <c r="S93" s="196">
        <v>14000</v>
      </c>
      <c r="T93" s="196">
        <v>14000</v>
      </c>
    </row>
    <row r="94" spans="1:27" ht="24" customHeight="1">
      <c r="A94" s="320" t="s">
        <v>83</v>
      </c>
      <c r="B94" s="255"/>
      <c r="C94" s="255"/>
      <c r="D94" s="320" t="s">
        <v>1257</v>
      </c>
      <c r="E94" s="255"/>
      <c r="F94" s="255"/>
      <c r="G94" s="255"/>
      <c r="H94" s="255"/>
      <c r="I94" s="255"/>
      <c r="J94" s="255"/>
      <c r="K94" s="255"/>
      <c r="L94" s="268">
        <v>23550</v>
      </c>
      <c r="M94" s="268">
        <v>23550</v>
      </c>
      <c r="N94" s="197">
        <v>30000</v>
      </c>
      <c r="O94" s="197">
        <v>30000</v>
      </c>
      <c r="P94" s="196">
        <v>25000</v>
      </c>
      <c r="Q94" s="196">
        <v>25000</v>
      </c>
      <c r="R94" s="196">
        <v>25000</v>
      </c>
      <c r="S94" s="196">
        <v>25000</v>
      </c>
      <c r="T94" s="196">
        <v>25000</v>
      </c>
    </row>
    <row r="95" spans="1:27" ht="24" customHeight="1">
      <c r="A95" s="320" t="s">
        <v>82</v>
      </c>
      <c r="B95" s="255"/>
      <c r="C95" s="255"/>
      <c r="D95" s="320" t="s">
        <v>17</v>
      </c>
      <c r="E95" s="418"/>
      <c r="F95" s="418"/>
      <c r="G95" s="418"/>
      <c r="H95" s="418"/>
      <c r="I95" s="418"/>
      <c r="J95" s="418"/>
      <c r="K95" s="418"/>
      <c r="L95" s="268">
        <v>16636</v>
      </c>
      <c r="M95" s="268">
        <v>27883</v>
      </c>
      <c r="N95" s="197">
        <v>21735</v>
      </c>
      <c r="O95" s="197">
        <v>21735</v>
      </c>
      <c r="P95" s="196">
        <f>ROUND(O95*1.06,0)</f>
        <v>23039</v>
      </c>
      <c r="Q95" s="196">
        <f t="shared" ref="Q95:T95" si="11">ROUND(P95*1.06,0)</f>
        <v>24421</v>
      </c>
      <c r="R95" s="196">
        <f t="shared" si="11"/>
        <v>25886</v>
      </c>
      <c r="S95" s="196">
        <f t="shared" si="11"/>
        <v>27439</v>
      </c>
      <c r="T95" s="196">
        <f t="shared" si="11"/>
        <v>29085</v>
      </c>
      <c r="V95" s="190"/>
    </row>
    <row r="96" spans="1:27" ht="24" customHeight="1">
      <c r="A96" s="320" t="s">
        <v>722</v>
      </c>
      <c r="B96" s="255"/>
      <c r="C96" s="255"/>
      <c r="D96" s="320" t="s">
        <v>91</v>
      </c>
      <c r="E96" s="418"/>
      <c r="F96" s="418"/>
      <c r="G96" s="418"/>
      <c r="H96" s="418"/>
      <c r="I96" s="418"/>
      <c r="J96" s="418"/>
      <c r="K96" s="418"/>
      <c r="L96" s="268">
        <v>2079</v>
      </c>
      <c r="M96" s="268">
        <v>2508</v>
      </c>
      <c r="N96" s="197">
        <v>2400</v>
      </c>
      <c r="O96" s="197">
        <v>2400</v>
      </c>
      <c r="P96" s="196">
        <v>2400</v>
      </c>
      <c r="Q96" s="196">
        <v>2400</v>
      </c>
      <c r="R96" s="196">
        <v>2400</v>
      </c>
      <c r="S96" s="196">
        <v>2400</v>
      </c>
      <c r="T96" s="196">
        <v>2400</v>
      </c>
      <c r="V96" s="187"/>
    </row>
    <row r="97" spans="1:27" ht="24" customHeight="1">
      <c r="A97" s="320" t="s">
        <v>210</v>
      </c>
      <c r="B97" s="255"/>
      <c r="C97" s="255"/>
      <c r="D97" s="320" t="s">
        <v>92</v>
      </c>
      <c r="E97" s="255"/>
      <c r="F97" s="255"/>
      <c r="G97" s="255"/>
      <c r="H97" s="255"/>
      <c r="I97" s="255"/>
      <c r="J97" s="255"/>
      <c r="K97" s="255"/>
      <c r="L97" s="268">
        <v>14352</v>
      </c>
      <c r="M97" s="268">
        <v>14648</v>
      </c>
      <c r="N97" s="197">
        <v>17500</v>
      </c>
      <c r="O97" s="197">
        <v>17500</v>
      </c>
      <c r="P97" s="196">
        <v>17500</v>
      </c>
      <c r="Q97" s="196">
        <v>17500</v>
      </c>
      <c r="R97" s="196">
        <v>17500</v>
      </c>
      <c r="S97" s="196">
        <v>17500</v>
      </c>
      <c r="T97" s="196">
        <v>17500</v>
      </c>
    </row>
    <row r="98" spans="1:27" ht="24" customHeight="1">
      <c r="A98" s="320" t="s">
        <v>99</v>
      </c>
      <c r="B98" s="255"/>
      <c r="C98" s="255"/>
      <c r="D98" s="320" t="s">
        <v>11</v>
      </c>
      <c r="E98" s="255"/>
      <c r="F98" s="255"/>
      <c r="G98" s="255"/>
      <c r="H98" s="255"/>
      <c r="I98" s="255"/>
      <c r="J98" s="255"/>
      <c r="K98" s="255"/>
      <c r="L98" s="268">
        <v>9162</v>
      </c>
      <c r="M98" s="268">
        <v>8287</v>
      </c>
      <c r="N98" s="197">
        <v>12000</v>
      </c>
      <c r="O98" s="197">
        <v>12000</v>
      </c>
      <c r="P98" s="196">
        <v>11000</v>
      </c>
      <c r="Q98" s="196">
        <v>11000</v>
      </c>
      <c r="R98" s="196">
        <v>11000</v>
      </c>
      <c r="S98" s="196">
        <v>11000</v>
      </c>
      <c r="T98" s="196">
        <v>11000</v>
      </c>
    </row>
    <row r="99" spans="1:27" ht="24" customHeight="1">
      <c r="A99" s="320" t="s">
        <v>98</v>
      </c>
      <c r="B99" s="255"/>
      <c r="C99" s="255"/>
      <c r="D99" s="320" t="s">
        <v>249</v>
      </c>
      <c r="E99" s="255"/>
      <c r="F99" s="255"/>
      <c r="G99" s="255"/>
      <c r="H99" s="255"/>
      <c r="I99" s="255"/>
      <c r="J99" s="255"/>
      <c r="K99" s="255"/>
      <c r="L99" s="268">
        <v>0</v>
      </c>
      <c r="M99" s="268">
        <v>0</v>
      </c>
      <c r="N99" s="197">
        <v>850</v>
      </c>
      <c r="O99" s="197">
        <v>850</v>
      </c>
      <c r="P99" s="196">
        <v>850</v>
      </c>
      <c r="Q99" s="196">
        <v>850</v>
      </c>
      <c r="R99" s="196">
        <v>850</v>
      </c>
      <c r="S99" s="196">
        <v>850</v>
      </c>
      <c r="T99" s="196">
        <v>850</v>
      </c>
    </row>
    <row r="100" spans="1:27" ht="24" customHeight="1">
      <c r="A100" s="320" t="s">
        <v>1475</v>
      </c>
      <c r="B100" s="727"/>
      <c r="C100" s="727"/>
      <c r="D100" s="320" t="s">
        <v>1169</v>
      </c>
      <c r="E100" s="727"/>
      <c r="F100" s="727"/>
      <c r="G100" s="727"/>
      <c r="H100" s="727"/>
      <c r="I100" s="727"/>
      <c r="J100" s="727"/>
      <c r="K100" s="727"/>
      <c r="L100" s="597">
        <v>0</v>
      </c>
      <c r="M100" s="597">
        <v>0</v>
      </c>
      <c r="N100" s="598">
        <v>100</v>
      </c>
      <c r="O100" s="598">
        <v>0</v>
      </c>
      <c r="P100" s="599">
        <v>0</v>
      </c>
      <c r="Q100" s="599">
        <v>0</v>
      </c>
      <c r="R100" s="599">
        <v>0</v>
      </c>
      <c r="S100" s="599">
        <v>0</v>
      </c>
      <c r="T100" s="599">
        <v>0</v>
      </c>
    </row>
    <row r="101" spans="1:27" s="255" customFormat="1" ht="24" customHeight="1">
      <c r="A101" s="320"/>
      <c r="D101" s="320"/>
      <c r="L101" s="275">
        <f>SUM(L65:L100)</f>
        <v>710199</v>
      </c>
      <c r="M101" s="275">
        <f t="shared" ref="M101:T101" si="12">SUM(M65:M100)</f>
        <v>728145</v>
      </c>
      <c r="N101" s="276">
        <f t="shared" si="12"/>
        <v>903028</v>
      </c>
      <c r="O101" s="276">
        <f t="shared" si="12"/>
        <v>896372</v>
      </c>
      <c r="P101" s="346">
        <f t="shared" si="12"/>
        <v>749942</v>
      </c>
      <c r="Q101" s="346">
        <f t="shared" si="12"/>
        <v>780295</v>
      </c>
      <c r="R101" s="346">
        <f t="shared" si="12"/>
        <v>806380</v>
      </c>
      <c r="S101" s="346">
        <f t="shared" si="12"/>
        <v>834035</v>
      </c>
      <c r="T101" s="346">
        <f t="shared" si="12"/>
        <v>863357</v>
      </c>
      <c r="U101" s="542"/>
    </row>
    <row r="102" spans="1:27" ht="15" customHeight="1">
      <c r="A102" s="320"/>
      <c r="B102" s="255"/>
      <c r="C102" s="255"/>
      <c r="D102" s="320"/>
      <c r="E102" s="255"/>
      <c r="F102" s="255"/>
      <c r="G102" s="255"/>
      <c r="H102" s="255"/>
      <c r="I102" s="255"/>
      <c r="J102" s="255"/>
      <c r="K102" s="255"/>
      <c r="L102" s="268"/>
      <c r="M102" s="268"/>
      <c r="N102" s="197"/>
      <c r="O102" s="197"/>
      <c r="P102" s="196"/>
      <c r="Q102" s="196"/>
      <c r="R102" s="196"/>
      <c r="S102" s="196"/>
      <c r="T102" s="196"/>
    </row>
    <row r="103" spans="1:27" ht="24" customHeight="1">
      <c r="A103" s="324" t="s">
        <v>596</v>
      </c>
      <c r="B103" s="255"/>
      <c r="C103" s="255"/>
      <c r="D103" s="255"/>
      <c r="E103" s="255"/>
      <c r="F103" s="255"/>
      <c r="G103" s="255"/>
      <c r="H103" s="255"/>
      <c r="I103" s="255"/>
      <c r="J103" s="255"/>
      <c r="K103" s="255"/>
      <c r="L103" s="271"/>
      <c r="M103" s="271"/>
      <c r="N103" s="204"/>
      <c r="O103" s="204"/>
      <c r="P103" s="203"/>
      <c r="Q103" s="203"/>
      <c r="R103" s="203"/>
      <c r="S103" s="203"/>
      <c r="T103" s="203"/>
    </row>
    <row r="104" spans="1:27" ht="24" customHeight="1">
      <c r="A104" s="320" t="s">
        <v>102</v>
      </c>
      <c r="B104" s="323"/>
      <c r="C104" s="323"/>
      <c r="D104" s="320" t="s">
        <v>1003</v>
      </c>
      <c r="E104" s="323"/>
      <c r="F104" s="323"/>
      <c r="G104" s="323"/>
      <c r="H104" s="323"/>
      <c r="I104" s="323"/>
      <c r="J104" s="323"/>
      <c r="K104" s="323"/>
      <c r="L104" s="264">
        <v>176887</v>
      </c>
      <c r="M104" s="264">
        <v>193692</v>
      </c>
      <c r="N104" s="189">
        <v>207142</v>
      </c>
      <c r="O104" s="189">
        <v>207142</v>
      </c>
      <c r="P104" s="196">
        <v>217491</v>
      </c>
      <c r="Q104" s="196">
        <v>225103</v>
      </c>
      <c r="R104" s="196">
        <v>232982</v>
      </c>
      <c r="S104" s="196">
        <v>241136</v>
      </c>
      <c r="T104" s="196">
        <v>249576</v>
      </c>
      <c r="V104" s="487"/>
      <c r="W104" s="488"/>
      <c r="X104" s="488"/>
      <c r="Y104" s="488"/>
    </row>
    <row r="105" spans="1:27" ht="24" customHeight="1">
      <c r="A105" s="320" t="s">
        <v>104</v>
      </c>
      <c r="B105" s="321"/>
      <c r="C105" s="321"/>
      <c r="D105" s="320" t="s">
        <v>8</v>
      </c>
      <c r="E105" s="321"/>
      <c r="F105" s="321"/>
      <c r="G105" s="321"/>
      <c r="H105" s="321"/>
      <c r="I105" s="321"/>
      <c r="J105" s="321"/>
      <c r="K105" s="321"/>
      <c r="L105" s="264">
        <v>19266</v>
      </c>
      <c r="M105" s="264">
        <v>21792</v>
      </c>
      <c r="N105" s="189">
        <v>24703</v>
      </c>
      <c r="O105" s="189">
        <v>24703</v>
      </c>
      <c r="P105" s="188">
        <v>24196</v>
      </c>
      <c r="Q105" s="188">
        <v>27598</v>
      </c>
      <c r="R105" s="188">
        <v>30264</v>
      </c>
      <c r="S105" s="188">
        <v>33204</v>
      </c>
      <c r="T105" s="188">
        <v>36438</v>
      </c>
      <c r="V105" s="487"/>
      <c r="W105" s="488"/>
      <c r="X105" s="488"/>
      <c r="Y105" s="488"/>
    </row>
    <row r="106" spans="1:27" ht="24" customHeight="1">
      <c r="A106" s="320" t="s">
        <v>103</v>
      </c>
      <c r="B106" s="255"/>
      <c r="C106" s="255"/>
      <c r="D106" s="320" t="s">
        <v>9</v>
      </c>
      <c r="E106" s="255"/>
      <c r="F106" s="255"/>
      <c r="G106" s="255"/>
      <c r="H106" s="255"/>
      <c r="I106" s="255"/>
      <c r="J106" s="255"/>
      <c r="K106" s="255"/>
      <c r="L106" s="264">
        <v>13410</v>
      </c>
      <c r="M106" s="264">
        <v>14483</v>
      </c>
      <c r="N106" s="189">
        <v>15674</v>
      </c>
      <c r="O106" s="189">
        <v>15674</v>
      </c>
      <c r="P106" s="196">
        <v>16462</v>
      </c>
      <c r="Q106" s="196">
        <v>17038</v>
      </c>
      <c r="R106" s="196">
        <v>17634</v>
      </c>
      <c r="S106" s="196">
        <v>18251</v>
      </c>
      <c r="T106" s="196">
        <v>18890</v>
      </c>
      <c r="V106" s="487"/>
      <c r="W106" s="488"/>
      <c r="X106" s="488"/>
      <c r="Y106" s="488"/>
    </row>
    <row r="107" spans="1:27" ht="24" customHeight="1">
      <c r="A107" s="320" t="s">
        <v>629</v>
      </c>
      <c r="B107" s="255"/>
      <c r="C107" s="255"/>
      <c r="D107" s="320" t="s">
        <v>13</v>
      </c>
      <c r="E107" s="255"/>
      <c r="F107" s="255"/>
      <c r="G107" s="255"/>
      <c r="H107" s="255"/>
      <c r="I107" s="255"/>
      <c r="J107" s="255"/>
      <c r="K107" s="255"/>
      <c r="L107" s="264">
        <v>23908</v>
      </c>
      <c r="M107" s="264">
        <v>30766</v>
      </c>
      <c r="N107" s="189">
        <v>27773</v>
      </c>
      <c r="O107" s="189">
        <v>27773</v>
      </c>
      <c r="P107" s="193">
        <v>33854</v>
      </c>
      <c r="Q107" s="193">
        <v>36562</v>
      </c>
      <c r="R107" s="193">
        <v>39487</v>
      </c>
      <c r="S107" s="193">
        <v>42646</v>
      </c>
      <c r="T107" s="193">
        <v>46058</v>
      </c>
      <c r="V107" s="487"/>
      <c r="W107" s="488"/>
      <c r="X107" s="487"/>
      <c r="Y107" s="488"/>
      <c r="AA107" s="187"/>
    </row>
    <row r="108" spans="1:27" ht="24" customHeight="1">
      <c r="A108" s="320" t="s">
        <v>630</v>
      </c>
      <c r="B108" s="255"/>
      <c r="C108" s="255"/>
      <c r="D108" s="320" t="s">
        <v>187</v>
      </c>
      <c r="E108" s="255"/>
      <c r="F108" s="255"/>
      <c r="G108" s="255"/>
      <c r="H108" s="255"/>
      <c r="I108" s="255"/>
      <c r="J108" s="255"/>
      <c r="K108" s="255"/>
      <c r="L108" s="264">
        <v>357</v>
      </c>
      <c r="M108" s="264">
        <v>332</v>
      </c>
      <c r="N108" s="189">
        <v>336</v>
      </c>
      <c r="O108" s="189">
        <f>ROUND(138+(28*7),0)</f>
        <v>334</v>
      </c>
      <c r="P108" s="193">
        <v>336</v>
      </c>
      <c r="Q108" s="193">
        <v>339</v>
      </c>
      <c r="R108" s="193">
        <v>342</v>
      </c>
      <c r="S108" s="193">
        <v>345</v>
      </c>
      <c r="T108" s="193">
        <v>348</v>
      </c>
      <c r="V108" s="487"/>
      <c r="W108" s="488"/>
      <c r="X108" s="487"/>
      <c r="Y108" s="488"/>
      <c r="AA108" s="187"/>
    </row>
    <row r="109" spans="1:27" ht="24" customHeight="1">
      <c r="A109" s="320" t="s">
        <v>631</v>
      </c>
      <c r="B109" s="255"/>
      <c r="C109" s="255"/>
      <c r="D109" s="320" t="s">
        <v>652</v>
      </c>
      <c r="E109" s="255"/>
      <c r="F109" s="255"/>
      <c r="G109" s="255"/>
      <c r="H109" s="255"/>
      <c r="I109" s="255"/>
      <c r="J109" s="255"/>
      <c r="K109" s="255"/>
      <c r="L109" s="264">
        <v>3061</v>
      </c>
      <c r="M109" s="264">
        <v>2749</v>
      </c>
      <c r="N109" s="189">
        <v>4216</v>
      </c>
      <c r="O109" s="189">
        <f>1991+(7*399)</f>
        <v>4784</v>
      </c>
      <c r="P109" s="193">
        <v>5017</v>
      </c>
      <c r="Q109" s="193">
        <v>5268</v>
      </c>
      <c r="R109" s="193">
        <v>5531</v>
      </c>
      <c r="S109" s="193">
        <v>5808</v>
      </c>
      <c r="T109" s="193">
        <v>6098</v>
      </c>
      <c r="V109" s="487"/>
      <c r="W109" s="488"/>
      <c r="X109" s="487"/>
      <c r="Y109" s="488"/>
      <c r="AA109" s="187"/>
    </row>
    <row r="110" spans="1:27" ht="24" customHeight="1">
      <c r="A110" s="320" t="s">
        <v>655</v>
      </c>
      <c r="B110" s="255"/>
      <c r="C110" s="255"/>
      <c r="D110" s="320" t="s">
        <v>654</v>
      </c>
      <c r="E110" s="255"/>
      <c r="F110" s="255"/>
      <c r="G110" s="255"/>
      <c r="H110" s="255"/>
      <c r="I110" s="255"/>
      <c r="J110" s="255"/>
      <c r="K110" s="255"/>
      <c r="L110" s="264">
        <v>324</v>
      </c>
      <c r="M110" s="264">
        <v>324</v>
      </c>
      <c r="N110" s="189">
        <v>500</v>
      </c>
      <c r="O110" s="189">
        <v>500</v>
      </c>
      <c r="P110" s="193">
        <v>500</v>
      </c>
      <c r="Q110" s="193">
        <v>515</v>
      </c>
      <c r="R110" s="193">
        <v>530</v>
      </c>
      <c r="S110" s="193">
        <v>546</v>
      </c>
      <c r="T110" s="193">
        <v>562</v>
      </c>
      <c r="V110" s="487"/>
      <c r="W110" s="488"/>
      <c r="X110" s="487"/>
      <c r="Y110" s="488"/>
      <c r="AA110" s="187"/>
    </row>
    <row r="111" spans="1:27" ht="24" customHeight="1">
      <c r="A111" s="320" t="s">
        <v>111</v>
      </c>
      <c r="B111" s="321"/>
      <c r="C111" s="321"/>
      <c r="D111" s="320" t="s">
        <v>96</v>
      </c>
      <c r="E111" s="321"/>
      <c r="F111" s="321"/>
      <c r="G111" s="321"/>
      <c r="H111" s="321"/>
      <c r="I111" s="321"/>
      <c r="J111" s="321"/>
      <c r="K111" s="321"/>
      <c r="L111" s="264">
        <v>1850</v>
      </c>
      <c r="M111" s="264">
        <v>1462</v>
      </c>
      <c r="N111" s="189">
        <v>2500</v>
      </c>
      <c r="O111" s="189">
        <v>2500</v>
      </c>
      <c r="P111" s="188">
        <v>2500</v>
      </c>
      <c r="Q111" s="188">
        <v>2500</v>
      </c>
      <c r="R111" s="188">
        <v>2500</v>
      </c>
      <c r="S111" s="188">
        <v>2500</v>
      </c>
      <c r="T111" s="188">
        <v>2500</v>
      </c>
    </row>
    <row r="112" spans="1:27" ht="24" customHeight="1">
      <c r="A112" s="320" t="s">
        <v>211</v>
      </c>
      <c r="B112" s="255"/>
      <c r="C112" s="255"/>
      <c r="D112" s="320" t="s">
        <v>112</v>
      </c>
      <c r="E112" s="255"/>
      <c r="F112" s="255"/>
      <c r="G112" s="255"/>
      <c r="H112" s="255"/>
      <c r="I112" s="255"/>
      <c r="J112" s="255"/>
      <c r="K112" s="255"/>
      <c r="L112" s="264">
        <v>31000</v>
      </c>
      <c r="M112" s="264">
        <v>31000</v>
      </c>
      <c r="N112" s="189">
        <v>35200</v>
      </c>
      <c r="O112" s="189">
        <v>32000</v>
      </c>
      <c r="P112" s="188">
        <f>33000+3300</f>
        <v>36300</v>
      </c>
      <c r="Q112" s="188">
        <f>34000+3400</f>
        <v>37400</v>
      </c>
      <c r="R112" s="188">
        <v>40000</v>
      </c>
      <c r="S112" s="188">
        <v>40000</v>
      </c>
      <c r="T112" s="188">
        <v>40000</v>
      </c>
      <c r="V112" s="487"/>
      <c r="W112" s="488"/>
      <c r="X112" s="703"/>
    </row>
    <row r="113" spans="1:26" ht="24" customHeight="1">
      <c r="A113" s="320" t="s">
        <v>110</v>
      </c>
      <c r="B113" s="255"/>
      <c r="C113" s="255"/>
      <c r="D113" s="320" t="s">
        <v>1166</v>
      </c>
      <c r="E113" s="255"/>
      <c r="F113" s="255"/>
      <c r="G113" s="255"/>
      <c r="H113" s="255"/>
      <c r="I113" s="255"/>
      <c r="J113" s="255"/>
      <c r="K113" s="255"/>
      <c r="L113" s="262">
        <v>197</v>
      </c>
      <c r="M113" s="262">
        <v>72</v>
      </c>
      <c r="N113" s="186">
        <v>2000</v>
      </c>
      <c r="O113" s="186">
        <v>500</v>
      </c>
      <c r="P113" s="185">
        <f>2000-500</f>
        <v>1500</v>
      </c>
      <c r="Q113" s="185">
        <v>2000</v>
      </c>
      <c r="R113" s="185">
        <v>2000</v>
      </c>
      <c r="S113" s="185">
        <v>2000</v>
      </c>
      <c r="T113" s="185">
        <v>2000</v>
      </c>
      <c r="V113" s="187"/>
    </row>
    <row r="114" spans="1:26" ht="24" customHeight="1">
      <c r="A114" s="320" t="s">
        <v>109</v>
      </c>
      <c r="B114" s="321"/>
      <c r="C114" s="321"/>
      <c r="D114" s="320" t="s">
        <v>1167</v>
      </c>
      <c r="E114" s="321"/>
      <c r="F114" s="321"/>
      <c r="G114" s="255"/>
      <c r="H114" s="255"/>
      <c r="I114" s="255"/>
      <c r="J114" s="255"/>
      <c r="K114" s="255"/>
      <c r="L114" s="262">
        <v>848</v>
      </c>
      <c r="M114" s="262">
        <v>1123</v>
      </c>
      <c r="N114" s="186">
        <v>2500</v>
      </c>
      <c r="O114" s="186">
        <v>2500</v>
      </c>
      <c r="P114" s="185">
        <f>1800+2500</f>
        <v>4300</v>
      </c>
      <c r="Q114" s="185">
        <f t="shared" ref="Q114:T114" si="13">2500+1800</f>
        <v>4300</v>
      </c>
      <c r="R114" s="185">
        <f t="shared" si="13"/>
        <v>4300</v>
      </c>
      <c r="S114" s="185">
        <f t="shared" si="13"/>
        <v>4300</v>
      </c>
      <c r="T114" s="185">
        <f t="shared" si="13"/>
        <v>4300</v>
      </c>
      <c r="V114" s="187"/>
    </row>
    <row r="115" spans="1:26" ht="24" customHeight="1">
      <c r="A115" s="320" t="s">
        <v>108</v>
      </c>
      <c r="B115" s="255"/>
      <c r="C115" s="255"/>
      <c r="D115" s="320" t="s">
        <v>240</v>
      </c>
      <c r="E115" s="255"/>
      <c r="F115" s="255"/>
      <c r="G115" s="255"/>
      <c r="H115" s="255"/>
      <c r="I115" s="255"/>
      <c r="J115" s="255"/>
      <c r="K115" s="255"/>
      <c r="L115" s="262">
        <v>989</v>
      </c>
      <c r="M115" s="262">
        <v>1082</v>
      </c>
      <c r="N115" s="186">
        <v>1200</v>
      </c>
      <c r="O115" s="186">
        <v>1200</v>
      </c>
      <c r="P115" s="185">
        <v>1200</v>
      </c>
      <c r="Q115" s="185">
        <v>1200</v>
      </c>
      <c r="R115" s="185">
        <v>1200</v>
      </c>
      <c r="S115" s="185">
        <v>1200</v>
      </c>
      <c r="T115" s="185">
        <v>1200</v>
      </c>
      <c r="V115" s="187"/>
    </row>
    <row r="116" spans="1:26" ht="24" customHeight="1">
      <c r="A116" s="320" t="s">
        <v>107</v>
      </c>
      <c r="B116" s="255"/>
      <c r="C116" s="255"/>
      <c r="D116" s="320" t="s">
        <v>94</v>
      </c>
      <c r="E116" s="616"/>
      <c r="F116" s="616"/>
      <c r="G116" s="615"/>
      <c r="H116" s="615"/>
      <c r="I116" s="615"/>
      <c r="J116" s="615"/>
      <c r="K116" s="615"/>
      <c r="L116" s="262">
        <v>920</v>
      </c>
      <c r="M116" s="262">
        <v>509</v>
      </c>
      <c r="N116" s="186">
        <v>4000</v>
      </c>
      <c r="O116" s="186">
        <v>4000</v>
      </c>
      <c r="P116" s="185">
        <v>1200</v>
      </c>
      <c r="Q116" s="185">
        <v>1200</v>
      </c>
      <c r="R116" s="185">
        <v>1200</v>
      </c>
      <c r="S116" s="185">
        <v>1200</v>
      </c>
      <c r="T116" s="185">
        <v>1200</v>
      </c>
    </row>
    <row r="117" spans="1:26" ht="24" customHeight="1">
      <c r="A117" s="320" t="s">
        <v>212</v>
      </c>
      <c r="B117" s="321"/>
      <c r="C117" s="321"/>
      <c r="D117" s="320" t="s">
        <v>1168</v>
      </c>
      <c r="E117" s="321"/>
      <c r="F117" s="321"/>
      <c r="G117" s="321"/>
      <c r="H117" s="321"/>
      <c r="I117" s="321"/>
      <c r="J117" s="255"/>
      <c r="K117" s="255"/>
      <c r="L117" s="264">
        <v>535</v>
      </c>
      <c r="M117" s="264">
        <v>500</v>
      </c>
      <c r="N117" s="189">
        <v>800</v>
      </c>
      <c r="O117" s="189">
        <v>800</v>
      </c>
      <c r="P117" s="188">
        <v>800</v>
      </c>
      <c r="Q117" s="188">
        <v>800</v>
      </c>
      <c r="R117" s="188">
        <v>800</v>
      </c>
      <c r="S117" s="188">
        <v>800</v>
      </c>
      <c r="T117" s="188">
        <v>800</v>
      </c>
    </row>
    <row r="118" spans="1:26" ht="24" customHeight="1">
      <c r="A118" s="320" t="s">
        <v>106</v>
      </c>
      <c r="B118" s="321"/>
      <c r="C118" s="321"/>
      <c r="D118" s="320" t="s">
        <v>10</v>
      </c>
      <c r="E118" s="615"/>
      <c r="F118" s="615"/>
      <c r="G118" s="616"/>
      <c r="H118" s="616"/>
      <c r="I118" s="616"/>
      <c r="J118" s="616"/>
      <c r="K118" s="616"/>
      <c r="L118" s="277">
        <v>20410</v>
      </c>
      <c r="M118" s="277">
        <v>22340</v>
      </c>
      <c r="N118" s="210">
        <v>45000</v>
      </c>
      <c r="O118" s="210">
        <v>45000</v>
      </c>
      <c r="P118" s="209">
        <f>35000+2000</f>
        <v>37000</v>
      </c>
      <c r="Q118" s="209">
        <f t="shared" ref="Q118:T118" si="14">35000+2000</f>
        <v>37000</v>
      </c>
      <c r="R118" s="209">
        <f t="shared" si="14"/>
        <v>37000</v>
      </c>
      <c r="S118" s="209">
        <f t="shared" si="14"/>
        <v>37000</v>
      </c>
      <c r="T118" s="209">
        <f t="shared" si="14"/>
        <v>37000</v>
      </c>
    </row>
    <row r="119" spans="1:26" ht="24" customHeight="1">
      <c r="A119" s="320" t="s">
        <v>105</v>
      </c>
      <c r="B119" s="255"/>
      <c r="C119" s="255"/>
      <c r="D119" s="320" t="s">
        <v>91</v>
      </c>
      <c r="E119" s="418"/>
      <c r="F119" s="418"/>
      <c r="G119" s="418"/>
      <c r="H119" s="418"/>
      <c r="I119" s="418"/>
      <c r="J119" s="417"/>
      <c r="K119" s="417"/>
      <c r="L119" s="277">
        <v>1835</v>
      </c>
      <c r="M119" s="277">
        <v>2126</v>
      </c>
      <c r="N119" s="186">
        <v>2250</v>
      </c>
      <c r="O119" s="186">
        <v>2250</v>
      </c>
      <c r="P119" s="185">
        <v>2250</v>
      </c>
      <c r="Q119" s="185">
        <v>2250</v>
      </c>
      <c r="R119" s="185">
        <v>2250</v>
      </c>
      <c r="S119" s="185">
        <v>2250</v>
      </c>
      <c r="T119" s="185">
        <v>2250</v>
      </c>
    </row>
    <row r="120" spans="1:26" ht="24" customHeight="1">
      <c r="A120" s="320" t="s">
        <v>114</v>
      </c>
      <c r="B120" s="255"/>
      <c r="C120" s="255"/>
      <c r="D120" s="320" t="s">
        <v>11</v>
      </c>
      <c r="E120" s="255"/>
      <c r="F120" s="255"/>
      <c r="G120" s="255"/>
      <c r="H120" s="255"/>
      <c r="I120" s="255"/>
      <c r="J120" s="255"/>
      <c r="K120" s="255"/>
      <c r="L120" s="262">
        <f>2019+86</f>
        <v>2105</v>
      </c>
      <c r="M120" s="262">
        <v>2626</v>
      </c>
      <c r="N120" s="186">
        <v>2600</v>
      </c>
      <c r="O120" s="186">
        <v>2600</v>
      </c>
      <c r="P120" s="185">
        <v>2600</v>
      </c>
      <c r="Q120" s="185">
        <v>2600</v>
      </c>
      <c r="R120" s="185">
        <v>2600</v>
      </c>
      <c r="S120" s="185">
        <v>2600</v>
      </c>
      <c r="T120" s="185">
        <v>2600</v>
      </c>
    </row>
    <row r="121" spans="1:26" ht="24" customHeight="1">
      <c r="A121" s="320" t="s">
        <v>113</v>
      </c>
      <c r="B121" s="255"/>
      <c r="C121" s="255"/>
      <c r="D121" s="320" t="s">
        <v>249</v>
      </c>
      <c r="E121" s="255"/>
      <c r="F121" s="255"/>
      <c r="G121" s="255"/>
      <c r="H121" s="255"/>
      <c r="I121" s="255"/>
      <c r="J121" s="255"/>
      <c r="K121" s="255"/>
      <c r="L121" s="269">
        <v>0</v>
      </c>
      <c r="M121" s="269">
        <v>710</v>
      </c>
      <c r="N121" s="212">
        <v>2500</v>
      </c>
      <c r="O121" s="212">
        <v>2500</v>
      </c>
      <c r="P121" s="200">
        <v>1000</v>
      </c>
      <c r="Q121" s="200">
        <v>2000</v>
      </c>
      <c r="R121" s="200">
        <v>2000</v>
      </c>
      <c r="S121" s="200">
        <v>2000</v>
      </c>
      <c r="T121" s="200">
        <v>2000</v>
      </c>
    </row>
    <row r="122" spans="1:26" s="255" customFormat="1" ht="24" customHeight="1">
      <c r="A122" s="320"/>
      <c r="D122" s="320"/>
      <c r="L122" s="275">
        <f t="shared" ref="L122:T122" si="15">SUM(L104:L121)</f>
        <v>297902</v>
      </c>
      <c r="M122" s="275">
        <f t="shared" si="15"/>
        <v>327688</v>
      </c>
      <c r="N122" s="278">
        <f t="shared" si="15"/>
        <v>380894</v>
      </c>
      <c r="O122" s="278">
        <f t="shared" si="15"/>
        <v>376760</v>
      </c>
      <c r="P122" s="287">
        <f t="shared" si="15"/>
        <v>388506</v>
      </c>
      <c r="Q122" s="287">
        <f t="shared" si="15"/>
        <v>405673</v>
      </c>
      <c r="R122" s="287">
        <f t="shared" si="15"/>
        <v>422620</v>
      </c>
      <c r="S122" s="287">
        <f t="shared" si="15"/>
        <v>437786</v>
      </c>
      <c r="T122" s="287">
        <f t="shared" si="15"/>
        <v>453820</v>
      </c>
      <c r="U122" s="542"/>
      <c r="V122" s="697"/>
      <c r="W122" s="697"/>
      <c r="X122" s="697"/>
      <c r="Y122" s="697"/>
      <c r="Z122" s="697"/>
    </row>
    <row r="123" spans="1:26" ht="15" customHeight="1">
      <c r="A123" s="320"/>
      <c r="B123" s="255"/>
      <c r="C123" s="255"/>
      <c r="D123" s="320"/>
      <c r="E123" s="255"/>
      <c r="F123" s="255"/>
      <c r="G123" s="255"/>
      <c r="H123" s="255"/>
      <c r="I123" s="255"/>
      <c r="J123" s="255"/>
      <c r="K123" s="255"/>
      <c r="L123" s="262"/>
      <c r="M123" s="262"/>
      <c r="N123" s="186"/>
      <c r="O123" s="186"/>
      <c r="P123" s="185"/>
      <c r="Q123" s="185"/>
      <c r="R123" s="185"/>
      <c r="S123" s="185"/>
      <c r="T123" s="185"/>
    </row>
    <row r="124" spans="1:26" ht="24" customHeight="1">
      <c r="A124" s="324" t="s">
        <v>597</v>
      </c>
      <c r="B124" s="255"/>
      <c r="C124" s="255"/>
      <c r="D124" s="255"/>
      <c r="E124" s="255"/>
      <c r="F124" s="255"/>
      <c r="G124" s="255"/>
      <c r="H124" s="255"/>
      <c r="I124" s="255"/>
      <c r="J124" s="255"/>
      <c r="K124" s="255"/>
      <c r="L124" s="271"/>
      <c r="M124" s="271"/>
      <c r="N124" s="204"/>
      <c r="O124" s="204"/>
      <c r="P124" s="203"/>
      <c r="Q124" s="203"/>
      <c r="R124" s="203"/>
      <c r="S124" s="203"/>
      <c r="T124" s="203"/>
    </row>
    <row r="125" spans="1:26" ht="24" customHeight="1">
      <c r="A125" s="320" t="s">
        <v>1156</v>
      </c>
      <c r="B125" s="323"/>
      <c r="C125" s="323"/>
      <c r="D125" s="320" t="s">
        <v>122</v>
      </c>
      <c r="E125" s="323"/>
      <c r="F125" s="323"/>
      <c r="G125" s="323"/>
      <c r="H125" s="323"/>
      <c r="I125" s="323"/>
      <c r="J125" s="323"/>
      <c r="K125" s="323"/>
      <c r="L125" s="265">
        <v>1227993</v>
      </c>
      <c r="M125" s="265">
        <v>1307670</v>
      </c>
      <c r="N125" s="186">
        <v>1563667</v>
      </c>
      <c r="O125" s="186">
        <v>1563667</v>
      </c>
      <c r="P125" s="196">
        <v>1614448</v>
      </c>
      <c r="Q125" s="196">
        <v>1670954</v>
      </c>
      <c r="R125" s="196">
        <v>1729437</v>
      </c>
      <c r="S125" s="196">
        <v>1789967</v>
      </c>
      <c r="T125" s="196">
        <v>1852616</v>
      </c>
      <c r="V125" s="487"/>
      <c r="W125" s="488"/>
      <c r="Z125" s="190"/>
    </row>
    <row r="126" spans="1:26" ht="24" customHeight="1">
      <c r="A126" s="320" t="s">
        <v>803</v>
      </c>
      <c r="B126" s="323"/>
      <c r="C126" s="323"/>
      <c r="D126" s="322" t="s">
        <v>804</v>
      </c>
      <c r="E126" s="323"/>
      <c r="F126" s="323"/>
      <c r="G126" s="323"/>
      <c r="H126" s="323"/>
      <c r="I126" s="323"/>
      <c r="J126" s="323"/>
      <c r="K126" s="323"/>
      <c r="L126" s="265">
        <v>274717</v>
      </c>
      <c r="M126" s="265">
        <v>295668</v>
      </c>
      <c r="N126" s="186">
        <v>326464</v>
      </c>
      <c r="O126" s="186">
        <v>326464</v>
      </c>
      <c r="P126" s="196">
        <v>346106</v>
      </c>
      <c r="Q126" s="196">
        <v>358220</v>
      </c>
      <c r="R126" s="196">
        <v>370758</v>
      </c>
      <c r="S126" s="196">
        <v>383735</v>
      </c>
      <c r="T126" s="196">
        <v>397166</v>
      </c>
      <c r="V126" s="487"/>
      <c r="W126" s="488"/>
      <c r="Z126" s="187"/>
    </row>
    <row r="127" spans="1:26" ht="24" customHeight="1">
      <c r="A127" s="320" t="s">
        <v>119</v>
      </c>
      <c r="B127" s="323"/>
      <c r="C127" s="323"/>
      <c r="D127" s="320" t="s">
        <v>805</v>
      </c>
      <c r="E127" s="323"/>
      <c r="F127" s="323"/>
      <c r="G127" s="323"/>
      <c r="H127" s="323"/>
      <c r="I127" s="323"/>
      <c r="J127" s="323"/>
      <c r="K127" s="323"/>
      <c r="L127" s="262">
        <v>392598</v>
      </c>
      <c r="M127" s="262">
        <v>426850</v>
      </c>
      <c r="N127" s="189">
        <v>448639</v>
      </c>
      <c r="O127" s="189">
        <v>448639</v>
      </c>
      <c r="P127" s="196">
        <v>466386</v>
      </c>
      <c r="Q127" s="196">
        <v>482710</v>
      </c>
      <c r="R127" s="196">
        <v>499605</v>
      </c>
      <c r="S127" s="196">
        <v>517091</v>
      </c>
      <c r="T127" s="196">
        <v>535189</v>
      </c>
      <c r="V127" s="487"/>
      <c r="W127" s="488"/>
    </row>
    <row r="128" spans="1:26" ht="24" customHeight="1">
      <c r="A128" s="320" t="s">
        <v>118</v>
      </c>
      <c r="B128" s="323"/>
      <c r="C128" s="323"/>
      <c r="D128" s="320" t="s">
        <v>121</v>
      </c>
      <c r="E128" s="323"/>
      <c r="F128" s="323"/>
      <c r="G128" s="323"/>
      <c r="H128" s="323"/>
      <c r="I128" s="323"/>
      <c r="J128" s="323"/>
      <c r="K128" s="323"/>
      <c r="L128" s="264">
        <v>115152</v>
      </c>
      <c r="M128" s="264">
        <v>116872</v>
      </c>
      <c r="N128" s="189">
        <v>124913</v>
      </c>
      <c r="O128" s="189">
        <v>124913</v>
      </c>
      <c r="P128" s="196">
        <v>130409</v>
      </c>
      <c r="Q128" s="196">
        <v>134973</v>
      </c>
      <c r="R128" s="196">
        <v>139697</v>
      </c>
      <c r="S128" s="196">
        <v>144586</v>
      </c>
      <c r="T128" s="196">
        <v>149647</v>
      </c>
      <c r="V128" s="487"/>
      <c r="W128" s="488"/>
    </row>
    <row r="129" spans="1:27" ht="24" customHeight="1">
      <c r="A129" s="320" t="s">
        <v>117</v>
      </c>
      <c r="B129" s="323"/>
      <c r="C129" s="323"/>
      <c r="D129" s="320" t="s">
        <v>120</v>
      </c>
      <c r="E129" s="323"/>
      <c r="F129" s="323"/>
      <c r="G129" s="323"/>
      <c r="H129" s="323"/>
      <c r="I129" s="323"/>
      <c r="J129" s="323"/>
      <c r="K129" s="323"/>
      <c r="L129" s="264">
        <v>19192</v>
      </c>
      <c r="M129" s="264">
        <v>21950</v>
      </c>
      <c r="N129" s="189">
        <v>20000</v>
      </c>
      <c r="O129" s="189">
        <v>20000</v>
      </c>
      <c r="P129" s="188">
        <v>20000</v>
      </c>
      <c r="Q129" s="188">
        <v>20000</v>
      </c>
      <c r="R129" s="188">
        <v>20000</v>
      </c>
      <c r="S129" s="188">
        <v>20000</v>
      </c>
      <c r="T129" s="188">
        <v>20000</v>
      </c>
      <c r="V129" s="487"/>
      <c r="W129" s="488"/>
    </row>
    <row r="130" spans="1:27" ht="24" customHeight="1">
      <c r="A130" s="320" t="s">
        <v>116</v>
      </c>
      <c r="B130" s="323"/>
      <c r="C130" s="323"/>
      <c r="D130" s="320" t="s">
        <v>73</v>
      </c>
      <c r="E130" s="323"/>
      <c r="F130" s="323"/>
      <c r="G130" s="323"/>
      <c r="H130" s="323"/>
      <c r="I130" s="323"/>
      <c r="J130" s="323"/>
      <c r="K130" s="323"/>
      <c r="L130" s="262">
        <v>54735</v>
      </c>
      <c r="M130" s="262">
        <v>57252</v>
      </c>
      <c r="N130" s="186">
        <v>65000</v>
      </c>
      <c r="O130" s="186">
        <v>65000</v>
      </c>
      <c r="P130" s="185">
        <v>70000</v>
      </c>
      <c r="Q130" s="185">
        <v>70000</v>
      </c>
      <c r="R130" s="185">
        <v>70000</v>
      </c>
      <c r="S130" s="185">
        <v>70000</v>
      </c>
      <c r="T130" s="185">
        <v>70000</v>
      </c>
      <c r="V130" s="487"/>
      <c r="W130" s="488"/>
    </row>
    <row r="131" spans="1:27" ht="24" customHeight="1">
      <c r="A131" s="320" t="s">
        <v>115</v>
      </c>
      <c r="B131" s="321"/>
      <c r="C131" s="321"/>
      <c r="D131" s="320" t="s">
        <v>14</v>
      </c>
      <c r="E131" s="321"/>
      <c r="F131" s="321"/>
      <c r="G131" s="321"/>
      <c r="H131" s="321"/>
      <c r="I131" s="321"/>
      <c r="J131" s="321"/>
      <c r="K131" s="321"/>
      <c r="L131" s="265">
        <v>101361</v>
      </c>
      <c r="M131" s="265">
        <v>95061</v>
      </c>
      <c r="N131" s="186">
        <v>111000</v>
      </c>
      <c r="O131" s="186">
        <v>111000</v>
      </c>
      <c r="P131" s="185">
        <v>111000</v>
      </c>
      <c r="Q131" s="185">
        <v>111000</v>
      </c>
      <c r="R131" s="185">
        <v>111000</v>
      </c>
      <c r="S131" s="185">
        <v>111000</v>
      </c>
      <c r="T131" s="185">
        <v>111000</v>
      </c>
      <c r="V131" s="487"/>
      <c r="W131" s="488"/>
    </row>
    <row r="132" spans="1:27" ht="24" customHeight="1">
      <c r="A132" s="320" t="s">
        <v>125</v>
      </c>
      <c r="B132" s="321"/>
      <c r="C132" s="321"/>
      <c r="D132" s="320" t="s">
        <v>8</v>
      </c>
      <c r="E132" s="321"/>
      <c r="F132" s="321"/>
      <c r="G132" s="321"/>
      <c r="H132" s="321"/>
      <c r="I132" s="321"/>
      <c r="J132" s="321"/>
      <c r="K132" s="321"/>
      <c r="L132" s="264">
        <v>12297</v>
      </c>
      <c r="M132" s="264">
        <v>12938</v>
      </c>
      <c r="N132" s="189">
        <v>14897</v>
      </c>
      <c r="O132" s="189">
        <v>14897</v>
      </c>
      <c r="P132" s="188">
        <v>14508</v>
      </c>
      <c r="Q132" s="188">
        <v>16548</v>
      </c>
      <c r="R132" s="188">
        <v>18147</v>
      </c>
      <c r="S132" s="188">
        <v>19909</v>
      </c>
      <c r="T132" s="188">
        <v>21848</v>
      </c>
      <c r="V132" s="487"/>
      <c r="W132" s="488"/>
    </row>
    <row r="133" spans="1:27" ht="24" customHeight="1">
      <c r="A133" s="320" t="s">
        <v>124</v>
      </c>
      <c r="B133" s="255"/>
      <c r="C133" s="255"/>
      <c r="D133" s="760" t="s">
        <v>1271</v>
      </c>
      <c r="E133" s="760"/>
      <c r="F133" s="760"/>
      <c r="G133" s="760"/>
      <c r="H133" s="760"/>
      <c r="I133" s="760"/>
      <c r="J133" s="760"/>
      <c r="K133" s="760"/>
      <c r="L133" s="264">
        <f>L10</f>
        <v>438711</v>
      </c>
      <c r="M133" s="264">
        <f t="shared" ref="M133:O133" si="16">M10</f>
        <v>524120</v>
      </c>
      <c r="N133" s="631">
        <f t="shared" si="16"/>
        <v>614005</v>
      </c>
      <c r="O133" s="631">
        <f t="shared" si="16"/>
        <v>624168</v>
      </c>
      <c r="P133" s="264">
        <v>728477</v>
      </c>
      <c r="Q133" s="264">
        <v>778477</v>
      </c>
      <c r="R133" s="264">
        <v>828477</v>
      </c>
      <c r="S133" s="264">
        <v>878477</v>
      </c>
      <c r="T133" s="264">
        <v>928477</v>
      </c>
      <c r="V133" s="187"/>
    </row>
    <row r="134" spans="1:27" ht="24" customHeight="1">
      <c r="A134" s="320" t="s">
        <v>123</v>
      </c>
      <c r="B134" s="321"/>
      <c r="C134" s="321"/>
      <c r="D134" s="320" t="s">
        <v>9</v>
      </c>
      <c r="E134" s="321"/>
      <c r="F134" s="321"/>
      <c r="G134" s="321"/>
      <c r="H134" s="321"/>
      <c r="I134" s="321"/>
      <c r="J134" s="321"/>
      <c r="K134" s="321"/>
      <c r="L134" s="264">
        <v>161039</v>
      </c>
      <c r="M134" s="264">
        <v>171085</v>
      </c>
      <c r="N134" s="189">
        <v>199604</v>
      </c>
      <c r="O134" s="189">
        <v>199604</v>
      </c>
      <c r="P134" s="196">
        <v>206817</v>
      </c>
      <c r="Q134" s="196">
        <v>214056</v>
      </c>
      <c r="R134" s="196">
        <v>221548</v>
      </c>
      <c r="S134" s="196">
        <v>229302</v>
      </c>
      <c r="T134" s="196">
        <v>237328</v>
      </c>
      <c r="V134" s="487"/>
      <c r="W134" s="488"/>
      <c r="X134" s="488"/>
      <c r="Y134" s="488"/>
    </row>
    <row r="135" spans="1:27" ht="24" customHeight="1">
      <c r="A135" s="320" t="s">
        <v>632</v>
      </c>
      <c r="B135" s="321"/>
      <c r="C135" s="321"/>
      <c r="D135" s="320" t="s">
        <v>13</v>
      </c>
      <c r="E135" s="321"/>
      <c r="F135" s="321"/>
      <c r="G135" s="321"/>
      <c r="H135" s="321"/>
      <c r="I135" s="321"/>
      <c r="J135" s="321"/>
      <c r="K135" s="321"/>
      <c r="L135" s="265">
        <v>417204</v>
      </c>
      <c r="M135" s="265">
        <v>462711</v>
      </c>
      <c r="N135" s="195">
        <v>592440</v>
      </c>
      <c r="O135" s="195">
        <v>592440</v>
      </c>
      <c r="P135" s="193">
        <v>639914</v>
      </c>
      <c r="Q135" s="193">
        <v>691107</v>
      </c>
      <c r="R135" s="193">
        <v>746396</v>
      </c>
      <c r="S135" s="193">
        <v>806108</v>
      </c>
      <c r="T135" s="193">
        <v>870597</v>
      </c>
      <c r="V135" s="487"/>
      <c r="W135" s="488"/>
      <c r="X135" s="487"/>
      <c r="Y135" s="488"/>
      <c r="AA135" s="187"/>
    </row>
    <row r="136" spans="1:27" ht="24" customHeight="1">
      <c r="A136" s="320" t="s">
        <v>633</v>
      </c>
      <c r="B136" s="321"/>
      <c r="C136" s="321"/>
      <c r="D136" s="320" t="s">
        <v>187</v>
      </c>
      <c r="E136" s="321"/>
      <c r="F136" s="321"/>
      <c r="G136" s="321"/>
      <c r="H136" s="321"/>
      <c r="I136" s="321"/>
      <c r="J136" s="321"/>
      <c r="K136" s="321"/>
      <c r="L136" s="265">
        <v>4666</v>
      </c>
      <c r="M136" s="265">
        <v>3050</v>
      </c>
      <c r="N136" s="195">
        <v>3448</v>
      </c>
      <c r="O136" s="195">
        <v>3448</v>
      </c>
      <c r="P136" s="193">
        <v>3556</v>
      </c>
      <c r="Q136" s="193">
        <v>3592</v>
      </c>
      <c r="R136" s="193">
        <v>3628</v>
      </c>
      <c r="S136" s="193">
        <v>3664</v>
      </c>
      <c r="T136" s="193">
        <v>3701</v>
      </c>
      <c r="V136" s="487"/>
      <c r="W136" s="488"/>
      <c r="X136" s="487"/>
      <c r="Y136" s="488"/>
      <c r="AA136" s="187"/>
    </row>
    <row r="137" spans="1:27" ht="24" customHeight="1">
      <c r="A137" s="320" t="s">
        <v>634</v>
      </c>
      <c r="B137" s="321"/>
      <c r="C137" s="321"/>
      <c r="D137" s="320" t="s">
        <v>652</v>
      </c>
      <c r="E137" s="321"/>
      <c r="F137" s="321"/>
      <c r="G137" s="321"/>
      <c r="H137" s="321"/>
      <c r="I137" s="321"/>
      <c r="J137" s="321"/>
      <c r="K137" s="321"/>
      <c r="L137" s="265">
        <v>33562</v>
      </c>
      <c r="M137" s="265">
        <v>30626</v>
      </c>
      <c r="N137" s="195">
        <v>35713</v>
      </c>
      <c r="O137" s="195">
        <v>35713</v>
      </c>
      <c r="P137" s="193">
        <v>43519</v>
      </c>
      <c r="Q137" s="193">
        <v>45695</v>
      </c>
      <c r="R137" s="193">
        <v>47980</v>
      </c>
      <c r="S137" s="193">
        <v>50379</v>
      </c>
      <c r="T137" s="193">
        <v>52898</v>
      </c>
      <c r="V137" s="487"/>
      <c r="W137" s="488"/>
      <c r="X137" s="487"/>
      <c r="Y137" s="488"/>
      <c r="AA137" s="187"/>
    </row>
    <row r="138" spans="1:27" ht="24" customHeight="1">
      <c r="A138" s="320" t="s">
        <v>656</v>
      </c>
      <c r="B138" s="321"/>
      <c r="C138" s="321"/>
      <c r="D138" s="320" t="s">
        <v>654</v>
      </c>
      <c r="E138" s="321"/>
      <c r="F138" s="321"/>
      <c r="G138" s="321"/>
      <c r="H138" s="321"/>
      <c r="I138" s="321"/>
      <c r="J138" s="321"/>
      <c r="K138" s="321"/>
      <c r="L138" s="265">
        <v>3623</v>
      </c>
      <c r="M138" s="265">
        <v>3787</v>
      </c>
      <c r="N138" s="195">
        <v>4347</v>
      </c>
      <c r="O138" s="195">
        <v>4347</v>
      </c>
      <c r="P138" s="193">
        <v>4494</v>
      </c>
      <c r="Q138" s="193">
        <v>4629</v>
      </c>
      <c r="R138" s="193">
        <v>4768</v>
      </c>
      <c r="S138" s="193">
        <v>4911</v>
      </c>
      <c r="T138" s="193">
        <v>5058</v>
      </c>
      <c r="V138" s="487"/>
      <c r="W138" s="488"/>
      <c r="X138" s="487"/>
      <c r="Y138" s="488"/>
      <c r="AA138" s="187"/>
    </row>
    <row r="139" spans="1:27" ht="24" customHeight="1">
      <c r="A139" s="320" t="s">
        <v>213</v>
      </c>
      <c r="B139" s="255"/>
      <c r="C139" s="255"/>
      <c r="D139" s="320" t="s">
        <v>97</v>
      </c>
      <c r="E139" s="255"/>
      <c r="F139" s="255"/>
      <c r="G139" s="255"/>
      <c r="H139" s="255"/>
      <c r="I139" s="255"/>
      <c r="J139" s="255"/>
      <c r="K139" s="255"/>
      <c r="L139" s="262">
        <v>0</v>
      </c>
      <c r="M139" s="262">
        <v>0</v>
      </c>
      <c r="N139" s="186">
        <v>2800</v>
      </c>
      <c r="O139" s="186">
        <v>2800</v>
      </c>
      <c r="P139" s="185">
        <v>2800</v>
      </c>
      <c r="Q139" s="185">
        <v>2800</v>
      </c>
      <c r="R139" s="185">
        <v>2800</v>
      </c>
      <c r="S139" s="185">
        <v>2800</v>
      </c>
      <c r="T139" s="185">
        <v>2800</v>
      </c>
    </row>
    <row r="140" spans="1:27" ht="24" customHeight="1">
      <c r="A140" s="320" t="s">
        <v>247</v>
      </c>
      <c r="B140" s="255"/>
      <c r="C140" s="255"/>
      <c r="D140" s="320" t="s">
        <v>246</v>
      </c>
      <c r="E140" s="255"/>
      <c r="F140" s="255"/>
      <c r="G140" s="255"/>
      <c r="H140" s="255"/>
      <c r="I140" s="255"/>
      <c r="J140" s="255"/>
      <c r="K140" s="255"/>
      <c r="L140" s="262">
        <v>8788</v>
      </c>
      <c r="M140" s="262">
        <v>4590</v>
      </c>
      <c r="N140" s="186">
        <v>15000</v>
      </c>
      <c r="O140" s="186">
        <v>15000</v>
      </c>
      <c r="P140" s="185">
        <v>4000</v>
      </c>
      <c r="Q140" s="185">
        <v>4000</v>
      </c>
      <c r="R140" s="185">
        <v>15000</v>
      </c>
      <c r="S140" s="185">
        <v>4000</v>
      </c>
      <c r="T140" s="185">
        <v>4000</v>
      </c>
      <c r="V140" s="487"/>
      <c r="W140" s="488"/>
      <c r="X140" s="703"/>
    </row>
    <row r="141" spans="1:27" ht="24" customHeight="1">
      <c r="A141" s="320" t="s">
        <v>214</v>
      </c>
      <c r="B141" s="255"/>
      <c r="C141" s="255"/>
      <c r="D141" s="320" t="s">
        <v>137</v>
      </c>
      <c r="E141" s="255"/>
      <c r="F141" s="255"/>
      <c r="G141" s="255"/>
      <c r="H141" s="255"/>
      <c r="I141" s="255"/>
      <c r="J141" s="255"/>
      <c r="K141" s="255"/>
      <c r="L141" s="265">
        <v>9183</v>
      </c>
      <c r="M141" s="265">
        <v>12935</v>
      </c>
      <c r="N141" s="186">
        <v>15000</v>
      </c>
      <c r="O141" s="186">
        <v>15000</v>
      </c>
      <c r="P141" s="185">
        <v>18000</v>
      </c>
      <c r="Q141" s="185">
        <v>18000</v>
      </c>
      <c r="R141" s="185">
        <v>18000</v>
      </c>
      <c r="S141" s="185">
        <v>18000</v>
      </c>
      <c r="T141" s="185">
        <v>18000</v>
      </c>
    </row>
    <row r="142" spans="1:27" ht="24" customHeight="1">
      <c r="A142" s="320" t="s">
        <v>134</v>
      </c>
      <c r="B142" s="255"/>
      <c r="C142" s="255"/>
      <c r="D142" s="320" t="s">
        <v>1166</v>
      </c>
      <c r="E142" s="255"/>
      <c r="F142" s="255"/>
      <c r="G142" s="255"/>
      <c r="H142" s="255"/>
      <c r="I142" s="255"/>
      <c r="J142" s="255"/>
      <c r="K142" s="255"/>
      <c r="L142" s="264">
        <v>2579</v>
      </c>
      <c r="M142" s="264">
        <v>3963</v>
      </c>
      <c r="N142" s="189">
        <v>10000</v>
      </c>
      <c r="O142" s="189">
        <v>10000</v>
      </c>
      <c r="P142" s="188">
        <v>10000</v>
      </c>
      <c r="Q142" s="188">
        <v>10000</v>
      </c>
      <c r="R142" s="188">
        <v>10000</v>
      </c>
      <c r="S142" s="188">
        <v>10000</v>
      </c>
      <c r="T142" s="188">
        <v>10000</v>
      </c>
    </row>
    <row r="143" spans="1:27" ht="24" customHeight="1">
      <c r="A143" s="320" t="s">
        <v>1102</v>
      </c>
      <c r="B143" s="255"/>
      <c r="C143" s="255"/>
      <c r="D143" s="320" t="s">
        <v>1103</v>
      </c>
      <c r="E143" s="418"/>
      <c r="F143" s="418"/>
      <c r="G143" s="418"/>
      <c r="H143" s="418"/>
      <c r="I143" s="418"/>
      <c r="J143" s="418"/>
      <c r="K143" s="418"/>
      <c r="L143" s="262">
        <v>0</v>
      </c>
      <c r="M143" s="262">
        <v>0</v>
      </c>
      <c r="N143" s="186">
        <v>49058</v>
      </c>
      <c r="O143" s="186">
        <v>49058</v>
      </c>
      <c r="P143" s="185">
        <f t="shared" ref="P143:S143" si="17">P460</f>
        <v>203647</v>
      </c>
      <c r="Q143" s="185">
        <f t="shared" si="17"/>
        <v>146917</v>
      </c>
      <c r="R143" s="185">
        <f t="shared" si="17"/>
        <v>146917</v>
      </c>
      <c r="S143" s="185">
        <f t="shared" si="17"/>
        <v>146917</v>
      </c>
      <c r="T143" s="185">
        <f t="shared" ref="T143" si="18">T460</f>
        <v>146917</v>
      </c>
      <c r="V143" s="187"/>
    </row>
    <row r="144" spans="1:27" ht="24" customHeight="1">
      <c r="A144" s="320" t="s">
        <v>133</v>
      </c>
      <c r="B144" s="255"/>
      <c r="C144" s="255"/>
      <c r="D144" s="320" t="s">
        <v>95</v>
      </c>
      <c r="E144" s="255"/>
      <c r="F144" s="255"/>
      <c r="G144" s="255"/>
      <c r="H144" s="255"/>
      <c r="I144" s="255"/>
      <c r="J144" s="255"/>
      <c r="K144" s="255"/>
      <c r="L144" s="264">
        <v>359</v>
      </c>
      <c r="M144" s="264">
        <v>517</v>
      </c>
      <c r="N144" s="189">
        <v>200</v>
      </c>
      <c r="O144" s="189">
        <v>200</v>
      </c>
      <c r="P144" s="188">
        <v>200</v>
      </c>
      <c r="Q144" s="188">
        <v>200</v>
      </c>
      <c r="R144" s="188">
        <v>200</v>
      </c>
      <c r="S144" s="188">
        <v>200</v>
      </c>
      <c r="T144" s="188">
        <v>200</v>
      </c>
    </row>
    <row r="145" spans="1:27" ht="24" customHeight="1">
      <c r="A145" s="320" t="s">
        <v>132</v>
      </c>
      <c r="B145" s="255"/>
      <c r="C145" s="255"/>
      <c r="D145" s="320" t="s">
        <v>1167</v>
      </c>
      <c r="E145" s="255"/>
      <c r="F145" s="255"/>
      <c r="G145" s="255"/>
      <c r="H145" s="255"/>
      <c r="I145" s="255"/>
      <c r="J145" s="255"/>
      <c r="K145" s="255"/>
      <c r="L145" s="262">
        <v>3550</v>
      </c>
      <c r="M145" s="262">
        <v>2370</v>
      </c>
      <c r="N145" s="186">
        <v>4500</v>
      </c>
      <c r="O145" s="186">
        <v>4500</v>
      </c>
      <c r="P145" s="185">
        <v>4500</v>
      </c>
      <c r="Q145" s="185">
        <v>4500</v>
      </c>
      <c r="R145" s="185">
        <v>4500</v>
      </c>
      <c r="S145" s="185">
        <v>4500</v>
      </c>
      <c r="T145" s="185">
        <v>4500</v>
      </c>
    </row>
    <row r="146" spans="1:27" ht="24" customHeight="1">
      <c r="A146" s="320" t="s">
        <v>131</v>
      </c>
      <c r="B146" s="255"/>
      <c r="C146" s="255"/>
      <c r="D146" s="320" t="s">
        <v>240</v>
      </c>
      <c r="E146" s="413"/>
      <c r="F146" s="413"/>
      <c r="G146" s="413"/>
      <c r="H146" s="413"/>
      <c r="I146" s="413"/>
      <c r="J146" s="413"/>
      <c r="K146" s="413"/>
      <c r="L146" s="264">
        <v>26938</v>
      </c>
      <c r="M146" s="264">
        <v>24048</v>
      </c>
      <c r="N146" s="189">
        <v>36500</v>
      </c>
      <c r="O146" s="189">
        <v>36500</v>
      </c>
      <c r="P146" s="188">
        <f t="shared" ref="P146:T146" si="19">21500+15000</f>
        <v>36500</v>
      </c>
      <c r="Q146" s="188">
        <f t="shared" si="19"/>
        <v>36500</v>
      </c>
      <c r="R146" s="188">
        <f t="shared" si="19"/>
        <v>36500</v>
      </c>
      <c r="S146" s="188">
        <f t="shared" si="19"/>
        <v>36500</v>
      </c>
      <c r="T146" s="188">
        <f t="shared" si="19"/>
        <v>36500</v>
      </c>
      <c r="V146" s="187"/>
    </row>
    <row r="147" spans="1:27" ht="24" customHeight="1">
      <c r="A147" s="320" t="s">
        <v>130</v>
      </c>
      <c r="B147" s="255"/>
      <c r="C147" s="255"/>
      <c r="D147" s="320" t="s">
        <v>94</v>
      </c>
      <c r="E147" s="255"/>
      <c r="F147" s="255"/>
      <c r="G147" s="255"/>
      <c r="H147" s="255"/>
      <c r="I147" s="255"/>
      <c r="J147" s="255"/>
      <c r="K147" s="255"/>
      <c r="L147" s="262">
        <v>1210</v>
      </c>
      <c r="M147" s="262">
        <v>1218</v>
      </c>
      <c r="N147" s="186">
        <v>3000</v>
      </c>
      <c r="O147" s="186">
        <v>3000</v>
      </c>
      <c r="P147" s="185">
        <v>1600</v>
      </c>
      <c r="Q147" s="185">
        <v>1600</v>
      </c>
      <c r="R147" s="185">
        <v>1600</v>
      </c>
      <c r="S147" s="185">
        <v>1600</v>
      </c>
      <c r="T147" s="185">
        <v>1600</v>
      </c>
    </row>
    <row r="148" spans="1:27" ht="24" customHeight="1">
      <c r="A148" s="320" t="s">
        <v>216</v>
      </c>
      <c r="B148" s="255"/>
      <c r="C148" s="255"/>
      <c r="D148" s="320" t="s">
        <v>1168</v>
      </c>
      <c r="E148" s="255"/>
      <c r="F148" s="255"/>
      <c r="G148" s="255"/>
      <c r="H148" s="255"/>
      <c r="I148" s="255"/>
      <c r="J148" s="255"/>
      <c r="K148" s="255"/>
      <c r="L148" s="264">
        <v>898</v>
      </c>
      <c r="M148" s="264">
        <v>4315</v>
      </c>
      <c r="N148" s="189">
        <v>1350</v>
      </c>
      <c r="O148" s="189">
        <v>1350</v>
      </c>
      <c r="P148" s="188">
        <f t="shared" ref="P148:T148" si="20">1000+350</f>
        <v>1350</v>
      </c>
      <c r="Q148" s="188">
        <f t="shared" si="20"/>
        <v>1350</v>
      </c>
      <c r="R148" s="188">
        <f t="shared" si="20"/>
        <v>1350</v>
      </c>
      <c r="S148" s="188">
        <f t="shared" si="20"/>
        <v>1350</v>
      </c>
      <c r="T148" s="188">
        <f t="shared" si="20"/>
        <v>1350</v>
      </c>
    </row>
    <row r="149" spans="1:27" ht="24" customHeight="1">
      <c r="A149" s="320" t="s">
        <v>129</v>
      </c>
      <c r="B149" s="255"/>
      <c r="C149" s="255"/>
      <c r="D149" s="320" t="s">
        <v>10</v>
      </c>
      <c r="E149" s="255"/>
      <c r="F149" s="255"/>
      <c r="G149" s="255"/>
      <c r="H149" s="255"/>
      <c r="I149" s="255"/>
      <c r="J149" s="255"/>
      <c r="K149" s="255"/>
      <c r="L149" s="264">
        <v>8092</v>
      </c>
      <c r="M149" s="264">
        <v>11249</v>
      </c>
      <c r="N149" s="189">
        <v>15000</v>
      </c>
      <c r="O149" s="189">
        <v>15000</v>
      </c>
      <c r="P149" s="188">
        <v>20000</v>
      </c>
      <c r="Q149" s="188">
        <v>20000</v>
      </c>
      <c r="R149" s="188">
        <v>20000</v>
      </c>
      <c r="S149" s="188">
        <v>20000</v>
      </c>
      <c r="T149" s="188">
        <v>20000</v>
      </c>
    </row>
    <row r="150" spans="1:27" ht="24" customHeight="1">
      <c r="A150" s="320" t="s">
        <v>128</v>
      </c>
      <c r="B150" s="255"/>
      <c r="C150" s="255"/>
      <c r="D150" s="320" t="s">
        <v>136</v>
      </c>
      <c r="E150" s="255"/>
      <c r="F150" s="255"/>
      <c r="G150" s="255"/>
      <c r="H150" s="255"/>
      <c r="I150" s="255"/>
      <c r="J150" s="255"/>
      <c r="K150" s="255"/>
      <c r="L150" s="265">
        <v>0</v>
      </c>
      <c r="M150" s="265">
        <v>0</v>
      </c>
      <c r="N150" s="186">
        <v>20000</v>
      </c>
      <c r="O150" s="186">
        <v>20000</v>
      </c>
      <c r="P150" s="185">
        <v>10000</v>
      </c>
      <c r="Q150" s="185">
        <v>20000</v>
      </c>
      <c r="R150" s="185">
        <v>10000</v>
      </c>
      <c r="S150" s="185">
        <v>20000</v>
      </c>
      <c r="T150" s="185">
        <v>10000</v>
      </c>
      <c r="V150" s="220"/>
      <c r="AA150" s="198"/>
    </row>
    <row r="151" spans="1:27" ht="24" customHeight="1">
      <c r="A151" s="320" t="s">
        <v>127</v>
      </c>
      <c r="B151" s="255"/>
      <c r="C151" s="255"/>
      <c r="D151" s="320" t="s">
        <v>1088</v>
      </c>
      <c r="E151" s="255"/>
      <c r="F151" s="255"/>
      <c r="G151" s="255"/>
      <c r="H151" s="255"/>
      <c r="I151" s="255"/>
      <c r="J151" s="255"/>
      <c r="K151" s="255"/>
      <c r="L151" s="262">
        <v>16811</v>
      </c>
      <c r="M151" s="262">
        <v>16132</v>
      </c>
      <c r="N151" s="186">
        <v>20000</v>
      </c>
      <c r="O151" s="186">
        <v>20000</v>
      </c>
      <c r="P151" s="185">
        <v>20000</v>
      </c>
      <c r="Q151" s="185">
        <v>20000</v>
      </c>
      <c r="R151" s="185">
        <v>20000</v>
      </c>
      <c r="S151" s="185">
        <v>20000</v>
      </c>
      <c r="T151" s="185">
        <v>20000</v>
      </c>
      <c r="V151" s="220"/>
    </row>
    <row r="152" spans="1:27" ht="24" customHeight="1">
      <c r="A152" s="320" t="s">
        <v>126</v>
      </c>
      <c r="B152" s="255"/>
      <c r="C152" s="255"/>
      <c r="D152" s="320" t="s">
        <v>135</v>
      </c>
      <c r="E152" s="255"/>
      <c r="F152" s="321"/>
      <c r="G152" s="321"/>
      <c r="H152" s="321"/>
      <c r="I152" s="321"/>
      <c r="J152" s="321"/>
      <c r="K152" s="321"/>
      <c r="L152" s="262">
        <v>11660</v>
      </c>
      <c r="M152" s="262">
        <v>12434</v>
      </c>
      <c r="N152" s="186">
        <v>15000</v>
      </c>
      <c r="O152" s="186">
        <v>15000</v>
      </c>
      <c r="P152" s="185">
        <v>15000</v>
      </c>
      <c r="Q152" s="185">
        <v>15000</v>
      </c>
      <c r="R152" s="185">
        <v>15000</v>
      </c>
      <c r="S152" s="185">
        <v>15000</v>
      </c>
      <c r="T152" s="185">
        <v>15000</v>
      </c>
    </row>
    <row r="153" spans="1:27" ht="24" customHeight="1">
      <c r="A153" s="320" t="s">
        <v>269</v>
      </c>
      <c r="B153" s="255"/>
      <c r="C153" s="255"/>
      <c r="D153" s="320" t="s">
        <v>146</v>
      </c>
      <c r="E153" s="255"/>
      <c r="F153" s="255"/>
      <c r="G153" s="255"/>
      <c r="H153" s="255"/>
      <c r="I153" s="255"/>
      <c r="J153" s="255"/>
      <c r="K153" s="255"/>
      <c r="L153" s="262">
        <v>3406</v>
      </c>
      <c r="M153" s="262">
        <v>3118</v>
      </c>
      <c r="N153" s="186">
        <v>4000</v>
      </c>
      <c r="O153" s="186">
        <v>4000</v>
      </c>
      <c r="P153" s="185">
        <v>4000</v>
      </c>
      <c r="Q153" s="185">
        <v>4000</v>
      </c>
      <c r="R153" s="185">
        <v>4000</v>
      </c>
      <c r="S153" s="185">
        <v>4000</v>
      </c>
      <c r="T153" s="185">
        <v>4000</v>
      </c>
    </row>
    <row r="154" spans="1:27" ht="24" customHeight="1">
      <c r="A154" s="320" t="s">
        <v>215</v>
      </c>
      <c r="B154" s="321"/>
      <c r="C154" s="321"/>
      <c r="D154" s="159" t="s">
        <v>807</v>
      </c>
      <c r="E154" s="321"/>
      <c r="F154" s="255"/>
      <c r="G154" s="255"/>
      <c r="H154" s="255"/>
      <c r="I154" s="255"/>
      <c r="J154" s="255"/>
      <c r="K154" s="255"/>
      <c r="L154" s="264">
        <v>6660</v>
      </c>
      <c r="M154" s="264">
        <v>6660</v>
      </c>
      <c r="N154" s="189">
        <v>7000</v>
      </c>
      <c r="O154" s="189">
        <v>6660</v>
      </c>
      <c r="P154" s="188">
        <v>7000</v>
      </c>
      <c r="Q154" s="188">
        <v>7000</v>
      </c>
      <c r="R154" s="188">
        <v>7000</v>
      </c>
      <c r="S154" s="188">
        <v>7000</v>
      </c>
      <c r="T154" s="188">
        <v>7000</v>
      </c>
    </row>
    <row r="155" spans="1:27" ht="24" customHeight="1">
      <c r="A155" s="320" t="s">
        <v>723</v>
      </c>
      <c r="B155" s="321"/>
      <c r="C155" s="321"/>
      <c r="D155" s="320" t="s">
        <v>91</v>
      </c>
      <c r="E155" s="321"/>
      <c r="F155" s="255"/>
      <c r="G155" s="255"/>
      <c r="H155" s="255"/>
      <c r="I155" s="255"/>
      <c r="J155" s="255"/>
      <c r="K155" s="255"/>
      <c r="L155" s="266">
        <v>5761</v>
      </c>
      <c r="M155" s="266">
        <v>6384</v>
      </c>
      <c r="N155" s="194">
        <v>6500</v>
      </c>
      <c r="O155" s="194">
        <v>6500</v>
      </c>
      <c r="P155" s="193">
        <v>7000</v>
      </c>
      <c r="Q155" s="193">
        <v>7000</v>
      </c>
      <c r="R155" s="193">
        <v>7000</v>
      </c>
      <c r="S155" s="193">
        <v>7000</v>
      </c>
      <c r="T155" s="193">
        <v>7000</v>
      </c>
    </row>
    <row r="156" spans="1:27" ht="24" customHeight="1">
      <c r="A156" s="320" t="s">
        <v>228</v>
      </c>
      <c r="B156" s="255"/>
      <c r="C156" s="255"/>
      <c r="D156" s="320" t="s">
        <v>1170</v>
      </c>
      <c r="E156" s="411"/>
      <c r="F156" s="411"/>
      <c r="G156" s="411"/>
      <c r="H156" s="411"/>
      <c r="I156" s="411"/>
      <c r="J156" s="411"/>
      <c r="K156" s="411"/>
      <c r="L156" s="266">
        <v>51153</v>
      </c>
      <c r="M156" s="266">
        <v>39976</v>
      </c>
      <c r="N156" s="194">
        <v>60000</v>
      </c>
      <c r="O156" s="194">
        <v>60000</v>
      </c>
      <c r="P156" s="193">
        <v>55000</v>
      </c>
      <c r="Q156" s="193">
        <v>55000</v>
      </c>
      <c r="R156" s="193">
        <v>55000</v>
      </c>
      <c r="S156" s="193">
        <v>55000</v>
      </c>
      <c r="T156" s="193">
        <v>55000</v>
      </c>
      <c r="V156" s="187"/>
      <c r="Y156" s="187"/>
    </row>
    <row r="157" spans="1:27" ht="24" customHeight="1">
      <c r="A157" s="320" t="s">
        <v>143</v>
      </c>
      <c r="B157" s="255"/>
      <c r="C157" s="255"/>
      <c r="D157" s="320" t="s">
        <v>101</v>
      </c>
      <c r="E157" s="255"/>
      <c r="F157" s="255"/>
      <c r="G157" s="255"/>
      <c r="H157" s="255"/>
      <c r="I157" s="255"/>
      <c r="J157" s="255"/>
      <c r="K157" s="255"/>
      <c r="L157" s="262">
        <v>18710</v>
      </c>
      <c r="M157" s="262">
        <v>18424</v>
      </c>
      <c r="N157" s="194">
        <v>20000</v>
      </c>
      <c r="O157" s="194">
        <v>20000</v>
      </c>
      <c r="P157" s="193">
        <v>20000</v>
      </c>
      <c r="Q157" s="193">
        <v>20000</v>
      </c>
      <c r="R157" s="193">
        <v>20000</v>
      </c>
      <c r="S157" s="193">
        <v>20000</v>
      </c>
      <c r="T157" s="193">
        <v>20000</v>
      </c>
      <c r="V157" s="220"/>
    </row>
    <row r="158" spans="1:27" ht="24" customHeight="1">
      <c r="A158" s="320" t="s">
        <v>142</v>
      </c>
      <c r="B158" s="255"/>
      <c r="C158" s="255"/>
      <c r="D158" s="320" t="s">
        <v>11</v>
      </c>
      <c r="E158" s="255"/>
      <c r="F158" s="255"/>
      <c r="G158" s="255"/>
      <c r="H158" s="255"/>
      <c r="I158" s="255"/>
      <c r="J158" s="255"/>
      <c r="K158" s="255"/>
      <c r="L158" s="262">
        <v>4646</v>
      </c>
      <c r="M158" s="262">
        <v>2495</v>
      </c>
      <c r="N158" s="186">
        <v>4500</v>
      </c>
      <c r="O158" s="186">
        <v>4500</v>
      </c>
      <c r="P158" s="185">
        <f>4500</f>
        <v>4500</v>
      </c>
      <c r="Q158" s="185">
        <v>4500</v>
      </c>
      <c r="R158" s="185">
        <v>4500</v>
      </c>
      <c r="S158" s="185">
        <v>4500</v>
      </c>
      <c r="T158" s="185">
        <v>4500</v>
      </c>
    </row>
    <row r="159" spans="1:27" ht="24" customHeight="1">
      <c r="A159" s="320" t="s">
        <v>141</v>
      </c>
      <c r="B159" s="255"/>
      <c r="C159" s="255"/>
      <c r="D159" s="320" t="s">
        <v>12</v>
      </c>
      <c r="E159" s="255"/>
      <c r="F159" s="255"/>
      <c r="G159" s="255"/>
      <c r="H159" s="255"/>
      <c r="I159" s="255"/>
      <c r="J159" s="255"/>
      <c r="K159" s="255"/>
      <c r="L159" s="262">
        <v>18356</v>
      </c>
      <c r="M159" s="262">
        <v>5168</v>
      </c>
      <c r="N159" s="186">
        <v>10000</v>
      </c>
      <c r="O159" s="186">
        <v>10000</v>
      </c>
      <c r="P159" s="185">
        <f>10000+25000-25000</f>
        <v>10000</v>
      </c>
      <c r="Q159" s="185">
        <v>10000</v>
      </c>
      <c r="R159" s="185">
        <v>10000</v>
      </c>
      <c r="S159" s="185">
        <v>10000</v>
      </c>
      <c r="T159" s="185">
        <v>10000</v>
      </c>
    </row>
    <row r="160" spans="1:27" ht="24" customHeight="1">
      <c r="A160" s="320" t="s">
        <v>140</v>
      </c>
      <c r="B160" s="255"/>
      <c r="C160" s="255"/>
      <c r="D160" s="320" t="s">
        <v>249</v>
      </c>
      <c r="E160" s="255"/>
      <c r="F160" s="255"/>
      <c r="G160" s="255"/>
      <c r="H160" s="255"/>
      <c r="I160" s="255"/>
      <c r="J160" s="255"/>
      <c r="K160" s="255"/>
      <c r="L160" s="262">
        <v>3227</v>
      </c>
      <c r="M160" s="262">
        <v>7792</v>
      </c>
      <c r="N160" s="186">
        <v>12000</v>
      </c>
      <c r="O160" s="186">
        <v>12000</v>
      </c>
      <c r="P160" s="185">
        <v>12000</v>
      </c>
      <c r="Q160" s="185">
        <v>12000</v>
      </c>
      <c r="R160" s="185">
        <v>12000</v>
      </c>
      <c r="S160" s="185">
        <v>12000</v>
      </c>
      <c r="T160" s="185">
        <v>12000</v>
      </c>
    </row>
    <row r="161" spans="1:30" ht="24" customHeight="1">
      <c r="A161" s="320" t="s">
        <v>227</v>
      </c>
      <c r="B161" s="255"/>
      <c r="C161" s="255"/>
      <c r="D161" s="320" t="s">
        <v>1169</v>
      </c>
      <c r="E161" s="255"/>
      <c r="F161" s="255"/>
      <c r="G161" s="255"/>
      <c r="H161" s="255"/>
      <c r="I161" s="255"/>
      <c r="J161" s="255"/>
      <c r="K161" s="255"/>
      <c r="L161" s="264">
        <v>5767</v>
      </c>
      <c r="M161" s="264">
        <v>1479</v>
      </c>
      <c r="N161" s="189">
        <v>12250</v>
      </c>
      <c r="O161" s="189">
        <v>12250</v>
      </c>
      <c r="P161" s="188">
        <v>6500</v>
      </c>
      <c r="Q161" s="188">
        <v>6500</v>
      </c>
      <c r="R161" s="188">
        <v>6500</v>
      </c>
      <c r="S161" s="188">
        <v>6500</v>
      </c>
      <c r="T161" s="188">
        <v>6500</v>
      </c>
    </row>
    <row r="162" spans="1:30" ht="24" customHeight="1">
      <c r="A162" s="320" t="s">
        <v>808</v>
      </c>
      <c r="B162" s="255"/>
      <c r="C162" s="255"/>
      <c r="D162" s="320" t="s">
        <v>809</v>
      </c>
      <c r="E162" s="255"/>
      <c r="F162" s="255"/>
      <c r="G162" s="255"/>
      <c r="H162" s="255"/>
      <c r="I162" s="255"/>
      <c r="J162" s="255"/>
      <c r="K162" s="255"/>
      <c r="L162" s="264">
        <v>0</v>
      </c>
      <c r="M162" s="264">
        <v>7311</v>
      </c>
      <c r="N162" s="189">
        <v>7370</v>
      </c>
      <c r="O162" s="189">
        <v>7370</v>
      </c>
      <c r="P162" s="188">
        <v>3000</v>
      </c>
      <c r="Q162" s="188">
        <v>3000</v>
      </c>
      <c r="R162" s="188">
        <v>3000</v>
      </c>
      <c r="S162" s="188">
        <v>3000</v>
      </c>
      <c r="T162" s="188">
        <v>3000</v>
      </c>
    </row>
    <row r="163" spans="1:30" ht="24" customHeight="1">
      <c r="A163" s="320" t="s">
        <v>235</v>
      </c>
      <c r="B163" s="255"/>
      <c r="C163" s="255"/>
      <c r="D163" s="320" t="s">
        <v>1399</v>
      </c>
      <c r="E163" s="566"/>
      <c r="F163" s="566"/>
      <c r="G163" s="566"/>
      <c r="H163" s="566"/>
      <c r="I163" s="566"/>
      <c r="J163" s="566"/>
      <c r="K163" s="566"/>
      <c r="L163" s="262">
        <v>3025</v>
      </c>
      <c r="M163" s="262">
        <v>8009</v>
      </c>
      <c r="N163" s="186">
        <v>4200</v>
      </c>
      <c r="O163" s="186">
        <v>4200</v>
      </c>
      <c r="P163" s="185">
        <v>4200</v>
      </c>
      <c r="Q163" s="185">
        <v>4200</v>
      </c>
      <c r="R163" s="185">
        <v>4200</v>
      </c>
      <c r="S163" s="185">
        <v>4200</v>
      </c>
      <c r="T163" s="185">
        <v>4200</v>
      </c>
    </row>
    <row r="164" spans="1:30" ht="24" customHeight="1">
      <c r="A164" s="320" t="s">
        <v>139</v>
      </c>
      <c r="B164" s="255"/>
      <c r="C164" s="255"/>
      <c r="D164" s="320" t="s">
        <v>145</v>
      </c>
      <c r="E164" s="418"/>
      <c r="F164" s="418"/>
      <c r="G164" s="418"/>
      <c r="H164" s="418"/>
      <c r="I164" s="418"/>
      <c r="J164" s="418"/>
      <c r="K164" s="418"/>
      <c r="L164" s="264">
        <v>81459</v>
      </c>
      <c r="M164" s="264">
        <v>78917</v>
      </c>
      <c r="N164" s="189">
        <v>97317</v>
      </c>
      <c r="O164" s="189">
        <v>97317</v>
      </c>
      <c r="P164" s="188">
        <v>90000</v>
      </c>
      <c r="Q164" s="188">
        <f>ROUND(P164*1.07,0)</f>
        <v>96300</v>
      </c>
      <c r="R164" s="188">
        <f>ROUND(Q164*1.07,0)</f>
        <v>103041</v>
      </c>
      <c r="S164" s="188">
        <f>ROUND(R164*1.07,0)</f>
        <v>110254</v>
      </c>
      <c r="T164" s="188">
        <f>ROUND(S164*1.07,0)</f>
        <v>117972</v>
      </c>
      <c r="V164" s="190"/>
    </row>
    <row r="165" spans="1:30" ht="24" customHeight="1">
      <c r="A165" s="320" t="s">
        <v>138</v>
      </c>
      <c r="B165" s="255"/>
      <c r="C165" s="255"/>
      <c r="D165" s="320" t="s">
        <v>144</v>
      </c>
      <c r="E165" s="255"/>
      <c r="F165" s="255"/>
      <c r="G165" s="255"/>
      <c r="H165" s="255"/>
      <c r="I165" s="255"/>
      <c r="J165" s="255"/>
      <c r="K165" s="255"/>
      <c r="L165" s="269">
        <v>1868</v>
      </c>
      <c r="M165" s="269">
        <v>2990</v>
      </c>
      <c r="N165" s="212">
        <v>5000</v>
      </c>
      <c r="O165" s="212">
        <v>5000</v>
      </c>
      <c r="P165" s="200">
        <v>8000</v>
      </c>
      <c r="Q165" s="200">
        <v>8000</v>
      </c>
      <c r="R165" s="200">
        <v>8000</v>
      </c>
      <c r="S165" s="200">
        <v>8000</v>
      </c>
      <c r="T165" s="200">
        <v>8000</v>
      </c>
    </row>
    <row r="166" spans="1:30" s="255" customFormat="1" ht="24" customHeight="1">
      <c r="A166" s="320"/>
      <c r="D166" s="320"/>
      <c r="L166" s="284">
        <f t="shared" ref="L166" si="21">SUM(L125:L165)</f>
        <v>3550956</v>
      </c>
      <c r="M166" s="284">
        <f t="shared" ref="M166:T166" si="22">SUM(M125:M165)</f>
        <v>3812134</v>
      </c>
      <c r="N166" s="283">
        <f t="shared" si="22"/>
        <v>4581682</v>
      </c>
      <c r="O166" s="283">
        <f t="shared" ref="O166" si="23">SUM(O125:O165)</f>
        <v>4591505</v>
      </c>
      <c r="P166" s="284">
        <f t="shared" ref="P166:S166" si="24">SUM(P125:P165)</f>
        <v>4978431</v>
      </c>
      <c r="Q166" s="284">
        <f t="shared" si="24"/>
        <v>5140328</v>
      </c>
      <c r="R166" s="284">
        <f t="shared" si="24"/>
        <v>5357549</v>
      </c>
      <c r="S166" s="284">
        <f t="shared" si="24"/>
        <v>5581450</v>
      </c>
      <c r="T166" s="284">
        <f t="shared" si="22"/>
        <v>5805564</v>
      </c>
      <c r="U166" s="542"/>
      <c r="V166" s="697"/>
      <c r="W166" s="697"/>
      <c r="X166" s="697"/>
      <c r="Y166" s="697"/>
      <c r="Z166" s="697"/>
    </row>
    <row r="167" spans="1:30" ht="15" customHeight="1">
      <c r="A167" s="320"/>
      <c r="B167" s="255"/>
      <c r="C167" s="255"/>
      <c r="D167" s="320"/>
      <c r="E167" s="255"/>
      <c r="F167" s="255"/>
      <c r="G167" s="255"/>
      <c r="H167" s="255"/>
      <c r="I167" s="255"/>
      <c r="J167" s="255"/>
      <c r="K167" s="255"/>
      <c r="L167" s="262"/>
      <c r="M167" s="262"/>
      <c r="N167" s="186"/>
      <c r="O167" s="186"/>
      <c r="P167" s="185"/>
      <c r="Q167" s="185"/>
      <c r="R167" s="185"/>
      <c r="S167" s="185"/>
      <c r="T167" s="185"/>
    </row>
    <row r="168" spans="1:30" ht="24" customHeight="1">
      <c r="A168" s="324" t="s">
        <v>671</v>
      </c>
      <c r="B168" s="255"/>
      <c r="C168" s="255"/>
      <c r="D168" s="255"/>
      <c r="E168" s="255"/>
      <c r="F168" s="255"/>
      <c r="G168" s="255"/>
      <c r="H168" s="255"/>
      <c r="I168" s="255"/>
      <c r="J168" s="255"/>
      <c r="K168" s="255"/>
      <c r="L168" s="271"/>
      <c r="M168" s="271"/>
      <c r="N168" s="204"/>
      <c r="O168" s="204"/>
      <c r="P168" s="203"/>
      <c r="Q168" s="203"/>
      <c r="R168" s="203"/>
      <c r="S168" s="203"/>
      <c r="T168" s="203"/>
    </row>
    <row r="169" spans="1:30" ht="24" customHeight="1">
      <c r="A169" s="320" t="s">
        <v>147</v>
      </c>
      <c r="B169" s="321"/>
      <c r="C169" s="321"/>
      <c r="D169" s="320" t="s">
        <v>1003</v>
      </c>
      <c r="E169" s="420"/>
      <c r="F169" s="420"/>
      <c r="G169" s="420"/>
      <c r="H169" s="420"/>
      <c r="I169" s="420"/>
      <c r="J169" s="420"/>
      <c r="K169" s="420"/>
      <c r="L169" s="264">
        <v>183615</v>
      </c>
      <c r="M169" s="264">
        <v>218262</v>
      </c>
      <c r="N169" s="189">
        <v>297457</v>
      </c>
      <c r="O169" s="189">
        <v>297457</v>
      </c>
      <c r="P169" s="196">
        <v>309873</v>
      </c>
      <c r="Q169" s="196">
        <v>320719</v>
      </c>
      <c r="R169" s="196">
        <v>331944</v>
      </c>
      <c r="S169" s="196">
        <v>343562</v>
      </c>
      <c r="T169" s="196">
        <v>355587</v>
      </c>
      <c r="V169" s="487"/>
      <c r="W169" s="488"/>
      <c r="X169" s="488"/>
      <c r="Y169" s="488"/>
    </row>
    <row r="170" spans="1:30" ht="24" customHeight="1">
      <c r="A170" s="320" t="s">
        <v>683</v>
      </c>
      <c r="B170" s="323"/>
      <c r="C170" s="323"/>
      <c r="D170" s="320" t="s">
        <v>73</v>
      </c>
      <c r="E170" s="323"/>
      <c r="F170" s="323"/>
      <c r="G170" s="420"/>
      <c r="H170" s="420"/>
      <c r="I170" s="420"/>
      <c r="J170" s="420"/>
      <c r="K170" s="420"/>
      <c r="L170" s="264">
        <v>15781</v>
      </c>
      <c r="M170" s="264">
        <v>11575</v>
      </c>
      <c r="N170" s="189">
        <v>30000</v>
      </c>
      <c r="O170" s="189">
        <v>30000</v>
      </c>
      <c r="P170" s="188">
        <v>48000</v>
      </c>
      <c r="Q170" s="188">
        <v>48000</v>
      </c>
      <c r="R170" s="188">
        <v>48000</v>
      </c>
      <c r="S170" s="188">
        <v>48000</v>
      </c>
      <c r="T170" s="188">
        <v>48000</v>
      </c>
      <c r="V170" s="487"/>
      <c r="W170" s="488"/>
      <c r="X170" s="488"/>
      <c r="Y170" s="488"/>
      <c r="Z170" s="187"/>
      <c r="AD170" s="221"/>
    </row>
    <row r="171" spans="1:30" ht="24" customHeight="1">
      <c r="A171" s="320" t="s">
        <v>149</v>
      </c>
      <c r="B171" s="321"/>
      <c r="C171" s="321"/>
      <c r="D171" s="320" t="s">
        <v>8</v>
      </c>
      <c r="E171" s="420"/>
      <c r="F171" s="420"/>
      <c r="G171" s="420"/>
      <c r="H171" s="420"/>
      <c r="I171" s="420"/>
      <c r="J171" s="420"/>
      <c r="K171" s="420"/>
      <c r="L171" s="264">
        <v>19592</v>
      </c>
      <c r="M171" s="264">
        <v>24323</v>
      </c>
      <c r="N171" s="189">
        <v>35474</v>
      </c>
      <c r="O171" s="189">
        <v>35474</v>
      </c>
      <c r="P171" s="188">
        <v>34474</v>
      </c>
      <c r="Q171" s="188">
        <v>39320</v>
      </c>
      <c r="R171" s="188">
        <v>43120</v>
      </c>
      <c r="S171" s="188">
        <v>47308</v>
      </c>
      <c r="T171" s="188">
        <v>51916</v>
      </c>
      <c r="V171" s="487"/>
      <c r="W171" s="488"/>
      <c r="X171" s="488"/>
      <c r="Y171" s="488"/>
    </row>
    <row r="172" spans="1:30" ht="24" customHeight="1">
      <c r="A172" s="320" t="s">
        <v>148</v>
      </c>
      <c r="B172" s="255"/>
      <c r="C172" s="255"/>
      <c r="D172" s="320" t="s">
        <v>9</v>
      </c>
      <c r="E172" s="421"/>
      <c r="F172" s="421"/>
      <c r="G172" s="421"/>
      <c r="H172" s="421"/>
      <c r="I172" s="421"/>
      <c r="J172" s="421"/>
      <c r="K172" s="421"/>
      <c r="L172" s="264">
        <v>14716</v>
      </c>
      <c r="M172" s="264">
        <v>16823</v>
      </c>
      <c r="N172" s="189">
        <v>24681</v>
      </c>
      <c r="O172" s="189">
        <v>24681</v>
      </c>
      <c r="P172" s="196">
        <v>26784</v>
      </c>
      <c r="Q172" s="196">
        <v>27721</v>
      </c>
      <c r="R172" s="196">
        <v>28691</v>
      </c>
      <c r="S172" s="196">
        <v>29695</v>
      </c>
      <c r="T172" s="196">
        <v>30734</v>
      </c>
      <c r="V172" s="487"/>
      <c r="W172" s="488"/>
      <c r="X172" s="488"/>
      <c r="Y172" s="488"/>
    </row>
    <row r="173" spans="1:30" ht="24" customHeight="1">
      <c r="A173" s="320" t="s">
        <v>635</v>
      </c>
      <c r="B173" s="255"/>
      <c r="C173" s="255"/>
      <c r="D173" s="320" t="s">
        <v>13</v>
      </c>
      <c r="E173" s="421"/>
      <c r="F173" s="421"/>
      <c r="G173" s="421"/>
      <c r="H173" s="421"/>
      <c r="I173" s="421"/>
      <c r="J173" s="421"/>
      <c r="K173" s="421"/>
      <c r="L173" s="265">
        <v>45833</v>
      </c>
      <c r="M173" s="265">
        <v>59831</v>
      </c>
      <c r="N173" s="195">
        <v>58362</v>
      </c>
      <c r="O173" s="195">
        <v>58362</v>
      </c>
      <c r="P173" s="193">
        <v>82828</v>
      </c>
      <c r="Q173" s="193">
        <v>89454</v>
      </c>
      <c r="R173" s="193">
        <v>96610</v>
      </c>
      <c r="S173" s="193">
        <v>104339</v>
      </c>
      <c r="T173" s="193">
        <v>112686</v>
      </c>
      <c r="V173" s="487"/>
      <c r="W173" s="488"/>
      <c r="X173" s="487"/>
      <c r="Y173" s="488"/>
      <c r="AA173" s="187"/>
    </row>
    <row r="174" spans="1:30" ht="24" customHeight="1">
      <c r="A174" s="320" t="s">
        <v>636</v>
      </c>
      <c r="B174" s="255"/>
      <c r="C174" s="255"/>
      <c r="D174" s="320" t="s">
        <v>187</v>
      </c>
      <c r="E174" s="421"/>
      <c r="F174" s="421"/>
      <c r="G174" s="421"/>
      <c r="H174" s="421"/>
      <c r="I174" s="421"/>
      <c r="J174" s="421"/>
      <c r="K174" s="421"/>
      <c r="L174" s="265">
        <v>511</v>
      </c>
      <c r="M174" s="265">
        <v>359</v>
      </c>
      <c r="N174" s="195">
        <v>447</v>
      </c>
      <c r="O174" s="195">
        <v>447</v>
      </c>
      <c r="P174" s="193">
        <v>447</v>
      </c>
      <c r="Q174" s="193">
        <v>451</v>
      </c>
      <c r="R174" s="193">
        <v>456</v>
      </c>
      <c r="S174" s="193">
        <v>461</v>
      </c>
      <c r="T174" s="193">
        <v>466</v>
      </c>
      <c r="V174" s="487"/>
      <c r="W174" s="488"/>
      <c r="X174" s="487"/>
      <c r="Y174" s="488"/>
      <c r="AA174" s="187"/>
    </row>
    <row r="175" spans="1:30" ht="24" customHeight="1">
      <c r="A175" s="320" t="s">
        <v>637</v>
      </c>
      <c r="B175" s="255"/>
      <c r="C175" s="255"/>
      <c r="D175" s="320" t="s">
        <v>652</v>
      </c>
      <c r="E175" s="421"/>
      <c r="F175" s="421"/>
      <c r="G175" s="421"/>
      <c r="H175" s="421"/>
      <c r="I175" s="421"/>
      <c r="J175" s="421"/>
      <c r="K175" s="421"/>
      <c r="L175" s="265">
        <v>3393</v>
      </c>
      <c r="M175" s="265">
        <v>3036</v>
      </c>
      <c r="N175" s="195">
        <v>3187</v>
      </c>
      <c r="O175" s="195">
        <v>3187</v>
      </c>
      <c r="P175" s="193">
        <v>5465</v>
      </c>
      <c r="Q175" s="193">
        <v>5738</v>
      </c>
      <c r="R175" s="193">
        <v>6025</v>
      </c>
      <c r="S175" s="193">
        <v>6326</v>
      </c>
      <c r="T175" s="193">
        <v>6642</v>
      </c>
      <c r="V175" s="487"/>
      <c r="W175" s="488"/>
      <c r="X175" s="487"/>
      <c r="Y175" s="488"/>
      <c r="AA175" s="187"/>
    </row>
    <row r="176" spans="1:30" ht="24" customHeight="1">
      <c r="A176" s="320" t="s">
        <v>657</v>
      </c>
      <c r="B176" s="255"/>
      <c r="C176" s="255"/>
      <c r="D176" s="320" t="s">
        <v>654</v>
      </c>
      <c r="E176" s="421"/>
      <c r="F176" s="421"/>
      <c r="G176" s="421"/>
      <c r="H176" s="421"/>
      <c r="I176" s="421"/>
      <c r="J176" s="421"/>
      <c r="K176" s="421"/>
      <c r="L176" s="265">
        <v>370</v>
      </c>
      <c r="M176" s="265">
        <v>379</v>
      </c>
      <c r="N176" s="195">
        <v>390</v>
      </c>
      <c r="O176" s="195">
        <v>390</v>
      </c>
      <c r="P176" s="193">
        <v>557</v>
      </c>
      <c r="Q176" s="193">
        <v>574</v>
      </c>
      <c r="R176" s="193">
        <v>591</v>
      </c>
      <c r="S176" s="193">
        <v>609</v>
      </c>
      <c r="T176" s="193">
        <v>627</v>
      </c>
      <c r="V176" s="487"/>
      <c r="W176" s="488"/>
      <c r="X176" s="487"/>
      <c r="Y176" s="488"/>
      <c r="AA176" s="187"/>
    </row>
    <row r="177" spans="1:28" ht="24" customHeight="1">
      <c r="A177" s="320" t="s">
        <v>157</v>
      </c>
      <c r="B177" s="321"/>
      <c r="C177" s="321"/>
      <c r="D177" s="320" t="s">
        <v>96</v>
      </c>
      <c r="E177" s="321"/>
      <c r="F177" s="321"/>
      <c r="G177" s="321"/>
      <c r="H177" s="321"/>
      <c r="I177" s="321"/>
      <c r="J177" s="321"/>
      <c r="K177" s="321"/>
      <c r="L177" s="262">
        <v>1863</v>
      </c>
      <c r="M177" s="262">
        <v>1213</v>
      </c>
      <c r="N177" s="186">
        <v>3000</v>
      </c>
      <c r="O177" s="186">
        <v>3000</v>
      </c>
      <c r="P177" s="185">
        <v>5500</v>
      </c>
      <c r="Q177" s="185">
        <v>5500</v>
      </c>
      <c r="R177" s="185">
        <v>5500</v>
      </c>
      <c r="S177" s="185">
        <v>5500</v>
      </c>
      <c r="T177" s="185">
        <v>5500</v>
      </c>
      <c r="U177" s="185"/>
      <c r="V177" s="187"/>
    </row>
    <row r="178" spans="1:28" ht="24" customHeight="1">
      <c r="A178" s="320" t="s">
        <v>156</v>
      </c>
      <c r="B178" s="255"/>
      <c r="C178" s="255"/>
      <c r="D178" s="320" t="s">
        <v>1166</v>
      </c>
      <c r="E178" s="255"/>
      <c r="F178" s="255"/>
      <c r="G178" s="255"/>
      <c r="H178" s="255"/>
      <c r="I178" s="255"/>
      <c r="J178" s="255"/>
      <c r="K178" s="255"/>
      <c r="L178" s="262">
        <v>631</v>
      </c>
      <c r="M178" s="262">
        <v>281</v>
      </c>
      <c r="N178" s="186">
        <v>2000</v>
      </c>
      <c r="O178" s="186">
        <v>2000</v>
      </c>
      <c r="P178" s="185">
        <v>4000</v>
      </c>
      <c r="Q178" s="185">
        <v>4000</v>
      </c>
      <c r="R178" s="185">
        <v>4000</v>
      </c>
      <c r="S178" s="185">
        <v>4000</v>
      </c>
      <c r="T178" s="185">
        <v>4000</v>
      </c>
      <c r="V178" s="487"/>
      <c r="W178" s="488"/>
      <c r="X178" s="703"/>
    </row>
    <row r="179" spans="1:28" ht="24" customHeight="1">
      <c r="A179" s="320" t="s">
        <v>155</v>
      </c>
      <c r="B179" s="321"/>
      <c r="C179" s="321"/>
      <c r="D179" s="320" t="s">
        <v>95</v>
      </c>
      <c r="E179" s="321"/>
      <c r="F179" s="321"/>
      <c r="G179" s="321"/>
      <c r="H179" s="321"/>
      <c r="I179" s="321"/>
      <c r="J179" s="321"/>
      <c r="K179" s="321"/>
      <c r="L179" s="262">
        <v>291</v>
      </c>
      <c r="M179" s="262">
        <v>1371</v>
      </c>
      <c r="N179" s="186">
        <v>1000</v>
      </c>
      <c r="O179" s="186">
        <v>1000</v>
      </c>
      <c r="P179" s="185">
        <v>1000</v>
      </c>
      <c r="Q179" s="185">
        <v>1000</v>
      </c>
      <c r="R179" s="185">
        <v>1000</v>
      </c>
      <c r="S179" s="185">
        <v>1000</v>
      </c>
      <c r="T179" s="185">
        <v>1000</v>
      </c>
    </row>
    <row r="180" spans="1:28" ht="24" customHeight="1">
      <c r="A180" s="320" t="s">
        <v>154</v>
      </c>
      <c r="B180" s="255"/>
      <c r="C180" s="255"/>
      <c r="D180" s="320" t="s">
        <v>1167</v>
      </c>
      <c r="E180" s="255"/>
      <c r="F180" s="255"/>
      <c r="G180" s="255"/>
      <c r="H180" s="255"/>
      <c r="I180" s="255"/>
      <c r="J180" s="255"/>
      <c r="K180" s="255"/>
      <c r="L180" s="264">
        <v>1368</v>
      </c>
      <c r="M180" s="264">
        <v>1400</v>
      </c>
      <c r="N180" s="189">
        <v>4250</v>
      </c>
      <c r="O180" s="189">
        <v>4250</v>
      </c>
      <c r="P180" s="188">
        <v>2500</v>
      </c>
      <c r="Q180" s="188">
        <v>2500</v>
      </c>
      <c r="R180" s="188">
        <v>2500</v>
      </c>
      <c r="S180" s="188">
        <v>2500</v>
      </c>
      <c r="T180" s="188">
        <v>2500</v>
      </c>
    </row>
    <row r="181" spans="1:28" ht="24" customHeight="1">
      <c r="A181" s="320" t="s">
        <v>153</v>
      </c>
      <c r="B181" s="321"/>
      <c r="C181" s="321"/>
      <c r="D181" s="320" t="s">
        <v>240</v>
      </c>
      <c r="E181" s="321"/>
      <c r="F181" s="321"/>
      <c r="G181" s="321"/>
      <c r="H181" s="321"/>
      <c r="I181" s="321"/>
      <c r="J181" s="321"/>
      <c r="K181" s="321"/>
      <c r="L181" s="262">
        <v>2410</v>
      </c>
      <c r="M181" s="262">
        <v>2198</v>
      </c>
      <c r="N181" s="186">
        <v>3000</v>
      </c>
      <c r="O181" s="186">
        <v>3000</v>
      </c>
      <c r="P181" s="185">
        <v>3000</v>
      </c>
      <c r="Q181" s="185">
        <v>3000</v>
      </c>
      <c r="R181" s="185">
        <v>3000</v>
      </c>
      <c r="S181" s="185">
        <v>3000</v>
      </c>
      <c r="T181" s="185">
        <v>3000</v>
      </c>
      <c r="V181" s="187"/>
      <c r="AB181" s="221"/>
    </row>
    <row r="182" spans="1:28" ht="24" customHeight="1">
      <c r="A182" s="320" t="s">
        <v>152</v>
      </c>
      <c r="B182" s="255"/>
      <c r="C182" s="255"/>
      <c r="D182" s="320" t="s">
        <v>94</v>
      </c>
      <c r="E182" s="255"/>
      <c r="F182" s="255"/>
      <c r="G182" s="255"/>
      <c r="H182" s="255"/>
      <c r="I182" s="255"/>
      <c r="J182" s="255"/>
      <c r="K182" s="255"/>
      <c r="L182" s="264">
        <v>862</v>
      </c>
      <c r="M182" s="264">
        <v>906</v>
      </c>
      <c r="N182" s="189">
        <v>1000</v>
      </c>
      <c r="O182" s="189">
        <v>1000</v>
      </c>
      <c r="P182" s="188">
        <v>1000</v>
      </c>
      <c r="Q182" s="188">
        <v>1000</v>
      </c>
      <c r="R182" s="188">
        <v>1000</v>
      </c>
      <c r="S182" s="188">
        <v>1000</v>
      </c>
      <c r="T182" s="188">
        <v>1000</v>
      </c>
    </row>
    <row r="183" spans="1:28" ht="24" customHeight="1">
      <c r="A183" s="320" t="s">
        <v>242</v>
      </c>
      <c r="B183" s="255"/>
      <c r="C183" s="255"/>
      <c r="D183" s="320" t="s">
        <v>243</v>
      </c>
      <c r="E183" s="255"/>
      <c r="F183" s="255"/>
      <c r="G183" s="255"/>
      <c r="H183" s="255"/>
      <c r="I183" s="255"/>
      <c r="J183" s="255"/>
      <c r="K183" s="255"/>
      <c r="L183" s="262">
        <v>0</v>
      </c>
      <c r="M183" s="262">
        <v>680</v>
      </c>
      <c r="N183" s="186">
        <v>10000</v>
      </c>
      <c r="O183" s="186">
        <v>10000</v>
      </c>
      <c r="P183" s="185">
        <v>5000</v>
      </c>
      <c r="Q183" s="185">
        <v>5000</v>
      </c>
      <c r="R183" s="185">
        <v>5000</v>
      </c>
      <c r="S183" s="185">
        <v>5000</v>
      </c>
      <c r="T183" s="185">
        <v>5000</v>
      </c>
    </row>
    <row r="184" spans="1:28" ht="24" customHeight="1">
      <c r="A184" s="320" t="s">
        <v>218</v>
      </c>
      <c r="B184" s="321"/>
      <c r="C184" s="321"/>
      <c r="D184" s="320" t="s">
        <v>1168</v>
      </c>
      <c r="E184" s="321"/>
      <c r="F184" s="321"/>
      <c r="G184" s="255"/>
      <c r="H184" s="255"/>
      <c r="I184" s="255"/>
      <c r="J184" s="255"/>
      <c r="K184" s="255"/>
      <c r="L184" s="262">
        <v>2803</v>
      </c>
      <c r="M184" s="262">
        <v>1943</v>
      </c>
      <c r="N184" s="186">
        <v>2000</v>
      </c>
      <c r="O184" s="186">
        <v>2000</v>
      </c>
      <c r="P184" s="185">
        <v>2000</v>
      </c>
      <c r="Q184" s="185">
        <v>2000</v>
      </c>
      <c r="R184" s="185">
        <v>2000</v>
      </c>
      <c r="S184" s="185">
        <v>2000</v>
      </c>
      <c r="T184" s="185">
        <v>2000</v>
      </c>
    </row>
    <row r="185" spans="1:28" ht="24" customHeight="1">
      <c r="A185" s="320" t="s">
        <v>151</v>
      </c>
      <c r="B185" s="255"/>
      <c r="C185" s="255"/>
      <c r="D185" s="320" t="s">
        <v>10</v>
      </c>
      <c r="E185" s="255"/>
      <c r="F185" s="255"/>
      <c r="G185" s="255"/>
      <c r="H185" s="255"/>
      <c r="I185" s="255"/>
      <c r="J185" s="255"/>
      <c r="K185" s="255"/>
      <c r="L185" s="262">
        <v>5692</v>
      </c>
      <c r="M185" s="262">
        <v>5030</v>
      </c>
      <c r="N185" s="186">
        <v>60000</v>
      </c>
      <c r="O185" s="186">
        <f>36000+25000</f>
        <v>61000</v>
      </c>
      <c r="P185" s="185">
        <f>50000+6000+5000</f>
        <v>61000</v>
      </c>
      <c r="Q185" s="185">
        <f>36000+5000</f>
        <v>41000</v>
      </c>
      <c r="R185" s="185">
        <f>10000+5000</f>
        <v>15000</v>
      </c>
      <c r="S185" s="185">
        <f t="shared" ref="S185:T185" si="25">10000+5000</f>
        <v>15000</v>
      </c>
      <c r="T185" s="185">
        <f t="shared" si="25"/>
        <v>15000</v>
      </c>
    </row>
    <row r="186" spans="1:28" ht="24" customHeight="1">
      <c r="A186" s="320" t="s">
        <v>150</v>
      </c>
      <c r="B186" s="321"/>
      <c r="C186" s="321"/>
      <c r="D186" s="320" t="s">
        <v>136</v>
      </c>
      <c r="E186" s="321"/>
      <c r="F186" s="321"/>
      <c r="G186" s="321"/>
      <c r="H186" s="321"/>
      <c r="I186" s="321"/>
      <c r="J186" s="321"/>
      <c r="K186" s="321"/>
      <c r="L186" s="262">
        <v>1869</v>
      </c>
      <c r="M186" s="262">
        <v>485</v>
      </c>
      <c r="N186" s="186">
        <v>2000</v>
      </c>
      <c r="O186" s="186">
        <v>2000</v>
      </c>
      <c r="P186" s="185">
        <v>2000</v>
      </c>
      <c r="Q186" s="185">
        <v>2000</v>
      </c>
      <c r="R186" s="185">
        <v>2000</v>
      </c>
      <c r="S186" s="185">
        <v>2000</v>
      </c>
      <c r="T186" s="185">
        <v>2000</v>
      </c>
    </row>
    <row r="187" spans="1:28" ht="24" customHeight="1">
      <c r="A187" s="320" t="s">
        <v>724</v>
      </c>
      <c r="B187" s="321"/>
      <c r="C187" s="321"/>
      <c r="D187" s="320" t="s">
        <v>91</v>
      </c>
      <c r="E187" s="321"/>
      <c r="F187" s="321"/>
      <c r="G187" s="321"/>
      <c r="H187" s="321"/>
      <c r="I187" s="321"/>
      <c r="J187" s="321"/>
      <c r="K187" s="321"/>
      <c r="L187" s="262">
        <v>3155</v>
      </c>
      <c r="M187" s="262">
        <v>2601</v>
      </c>
      <c r="N187" s="186">
        <v>2700</v>
      </c>
      <c r="O187" s="186">
        <v>2700</v>
      </c>
      <c r="P187" s="185">
        <v>2900</v>
      </c>
      <c r="Q187" s="185">
        <v>2900</v>
      </c>
      <c r="R187" s="185">
        <v>2900</v>
      </c>
      <c r="S187" s="185">
        <v>2900</v>
      </c>
      <c r="T187" s="185">
        <v>2900</v>
      </c>
    </row>
    <row r="188" spans="1:28" ht="24" customHeight="1">
      <c r="A188" s="320" t="s">
        <v>217</v>
      </c>
      <c r="B188" s="255"/>
      <c r="C188" s="255"/>
      <c r="D188" s="320" t="s">
        <v>15</v>
      </c>
      <c r="E188" s="413"/>
      <c r="F188" s="413"/>
      <c r="G188" s="412"/>
      <c r="H188" s="412"/>
      <c r="I188" s="412"/>
      <c r="J188" s="412"/>
      <c r="K188" s="412"/>
      <c r="L188" s="264">
        <v>45000</v>
      </c>
      <c r="M188" s="264">
        <v>46800</v>
      </c>
      <c r="N188" s="189">
        <v>48672</v>
      </c>
      <c r="O188" s="189">
        <v>46800</v>
      </c>
      <c r="P188" s="188">
        <v>75000</v>
      </c>
      <c r="Q188" s="188">
        <f>ROUND(P188*1.05,0)</f>
        <v>78750</v>
      </c>
      <c r="R188" s="188">
        <f t="shared" ref="R188:T188" si="26">ROUND(Q188*1.05,0)</f>
        <v>82688</v>
      </c>
      <c r="S188" s="188">
        <f t="shared" si="26"/>
        <v>86822</v>
      </c>
      <c r="T188" s="188">
        <f t="shared" si="26"/>
        <v>91163</v>
      </c>
      <c r="V188" s="190"/>
      <c r="Y188" s="221"/>
    </row>
    <row r="189" spans="1:28" ht="24" customHeight="1">
      <c r="A189" s="320" t="s">
        <v>162</v>
      </c>
      <c r="B189" s="321"/>
      <c r="C189" s="321"/>
      <c r="D189" s="320" t="s">
        <v>11</v>
      </c>
      <c r="E189" s="321"/>
      <c r="F189" s="321"/>
      <c r="G189" s="321"/>
      <c r="H189" s="321"/>
      <c r="I189" s="321"/>
      <c r="J189" s="321"/>
      <c r="K189" s="321"/>
      <c r="L189" s="262">
        <v>520</v>
      </c>
      <c r="M189" s="262">
        <v>440</v>
      </c>
      <c r="N189" s="186">
        <v>750</v>
      </c>
      <c r="O189" s="186">
        <v>750</v>
      </c>
      <c r="P189" s="185">
        <f>4500-3600</f>
        <v>900</v>
      </c>
      <c r="Q189" s="185">
        <v>1500</v>
      </c>
      <c r="R189" s="185">
        <v>1500</v>
      </c>
      <c r="S189" s="185">
        <v>1500</v>
      </c>
      <c r="T189" s="185">
        <v>1500</v>
      </c>
    </row>
    <row r="190" spans="1:28" ht="24" customHeight="1">
      <c r="A190" s="320" t="s">
        <v>161</v>
      </c>
      <c r="B190" s="255"/>
      <c r="C190" s="255"/>
      <c r="D190" s="320" t="s">
        <v>12</v>
      </c>
      <c r="E190" s="255"/>
      <c r="F190" s="255"/>
      <c r="G190" s="255"/>
      <c r="H190" s="255"/>
      <c r="I190" s="255"/>
      <c r="J190" s="255"/>
      <c r="K190" s="255"/>
      <c r="L190" s="262">
        <v>2249</v>
      </c>
      <c r="M190" s="262">
        <v>2991</v>
      </c>
      <c r="N190" s="186">
        <v>5000</v>
      </c>
      <c r="O190" s="186">
        <v>5000</v>
      </c>
      <c r="P190" s="185">
        <v>3000</v>
      </c>
      <c r="Q190" s="185">
        <v>3000</v>
      </c>
      <c r="R190" s="185">
        <v>3000</v>
      </c>
      <c r="S190" s="185">
        <v>3000</v>
      </c>
      <c r="T190" s="185">
        <v>3000</v>
      </c>
    </row>
    <row r="191" spans="1:28" ht="24" customHeight="1">
      <c r="A191" s="320" t="s">
        <v>160</v>
      </c>
      <c r="B191" s="321"/>
      <c r="C191" s="321"/>
      <c r="D191" s="320" t="s">
        <v>16</v>
      </c>
      <c r="E191" s="321"/>
      <c r="F191" s="321"/>
      <c r="G191" s="321"/>
      <c r="H191" s="321"/>
      <c r="I191" s="321"/>
      <c r="J191" s="321"/>
      <c r="K191" s="321"/>
      <c r="L191" s="262">
        <v>61</v>
      </c>
      <c r="M191" s="262">
        <v>40</v>
      </c>
      <c r="N191" s="186">
        <v>0</v>
      </c>
      <c r="O191" s="186">
        <v>0</v>
      </c>
      <c r="P191" s="185">
        <v>0</v>
      </c>
      <c r="Q191" s="185">
        <v>0</v>
      </c>
      <c r="R191" s="185">
        <v>0</v>
      </c>
      <c r="S191" s="185">
        <v>0</v>
      </c>
      <c r="T191" s="185">
        <v>0</v>
      </c>
    </row>
    <row r="192" spans="1:28" ht="24" customHeight="1">
      <c r="A192" s="320" t="s">
        <v>159</v>
      </c>
      <c r="B192" s="321"/>
      <c r="C192" s="321"/>
      <c r="D192" s="320" t="s">
        <v>249</v>
      </c>
      <c r="E192" s="321"/>
      <c r="F192" s="321"/>
      <c r="G192" s="321"/>
      <c r="H192" s="321"/>
      <c r="I192" s="321"/>
      <c r="J192" s="321"/>
      <c r="K192" s="321"/>
      <c r="L192" s="264">
        <v>9153</v>
      </c>
      <c r="M192" s="264">
        <v>1321</v>
      </c>
      <c r="N192" s="189">
        <v>3500</v>
      </c>
      <c r="O192" s="189">
        <v>3500</v>
      </c>
      <c r="P192" s="188">
        <v>3500</v>
      </c>
      <c r="Q192" s="188">
        <v>3500</v>
      </c>
      <c r="R192" s="188">
        <v>3500</v>
      </c>
      <c r="S192" s="188">
        <v>3500</v>
      </c>
      <c r="T192" s="188">
        <v>3500</v>
      </c>
    </row>
    <row r="193" spans="1:27" ht="24" customHeight="1">
      <c r="A193" s="320" t="s">
        <v>158</v>
      </c>
      <c r="B193" s="255"/>
      <c r="C193" s="255"/>
      <c r="D193" s="320" t="s">
        <v>1171</v>
      </c>
      <c r="E193" s="255"/>
      <c r="F193" s="255"/>
      <c r="G193" s="255"/>
      <c r="H193" s="255"/>
      <c r="I193" s="255"/>
      <c r="J193" s="255"/>
      <c r="K193" s="255"/>
      <c r="L193" s="262">
        <v>382</v>
      </c>
      <c r="M193" s="262">
        <v>366</v>
      </c>
      <c r="N193" s="186">
        <v>500</v>
      </c>
      <c r="O193" s="186">
        <v>500</v>
      </c>
      <c r="P193" s="185">
        <v>500</v>
      </c>
      <c r="Q193" s="185">
        <v>500</v>
      </c>
      <c r="R193" s="185">
        <v>500</v>
      </c>
      <c r="S193" s="185">
        <v>500</v>
      </c>
      <c r="T193" s="185">
        <v>500</v>
      </c>
    </row>
    <row r="194" spans="1:27" ht="24" customHeight="1">
      <c r="A194" s="320" t="s">
        <v>758</v>
      </c>
      <c r="B194" s="321"/>
      <c r="C194" s="321"/>
      <c r="D194" s="320" t="s">
        <v>145</v>
      </c>
      <c r="E194" s="417"/>
      <c r="F194" s="417"/>
      <c r="G194" s="417"/>
      <c r="H194" s="417"/>
      <c r="I194" s="417"/>
      <c r="J194" s="417"/>
      <c r="K194" s="417"/>
      <c r="L194" s="269">
        <v>3069</v>
      </c>
      <c r="M194" s="269">
        <v>2884</v>
      </c>
      <c r="N194" s="212">
        <v>4184</v>
      </c>
      <c r="O194" s="212">
        <v>4184</v>
      </c>
      <c r="P194" s="200">
        <v>4000</v>
      </c>
      <c r="Q194" s="200">
        <f>ROUND(P194*1.07,0)</f>
        <v>4280</v>
      </c>
      <c r="R194" s="200">
        <f t="shared" ref="R194:T194" si="27">ROUND(Q194*1.07,0)</f>
        <v>4580</v>
      </c>
      <c r="S194" s="200">
        <f t="shared" si="27"/>
        <v>4901</v>
      </c>
      <c r="T194" s="200">
        <f t="shared" si="27"/>
        <v>5244</v>
      </c>
      <c r="V194" s="187"/>
    </row>
    <row r="195" spans="1:27" s="255" customFormat="1" ht="24" customHeight="1">
      <c r="A195" s="320"/>
      <c r="B195" s="321"/>
      <c r="C195" s="321"/>
      <c r="D195" s="320"/>
      <c r="E195" s="417"/>
      <c r="F195" s="417"/>
      <c r="G195" s="417"/>
      <c r="H195" s="417"/>
      <c r="I195" s="417"/>
      <c r="J195" s="417"/>
      <c r="K195" s="417"/>
      <c r="L195" s="284">
        <f t="shared" ref="L195" si="28">SUM(L169:L194)</f>
        <v>365189</v>
      </c>
      <c r="M195" s="284">
        <f t="shared" ref="M195:T195" si="29">SUM(M169:M194)</f>
        <v>407538</v>
      </c>
      <c r="N195" s="283">
        <f t="shared" si="29"/>
        <v>603554</v>
      </c>
      <c r="O195" s="283">
        <f t="shared" ref="O195" si="30">SUM(O169:O194)</f>
        <v>602682</v>
      </c>
      <c r="P195" s="284">
        <f t="shared" ref="P195:S195" si="31">SUM(P169:P194)</f>
        <v>685228</v>
      </c>
      <c r="Q195" s="284">
        <f t="shared" si="31"/>
        <v>693407</v>
      </c>
      <c r="R195" s="284">
        <f t="shared" si="31"/>
        <v>695105</v>
      </c>
      <c r="S195" s="284">
        <f t="shared" si="31"/>
        <v>724423</v>
      </c>
      <c r="T195" s="284">
        <f t="shared" si="29"/>
        <v>755465</v>
      </c>
      <c r="U195" s="542"/>
    </row>
    <row r="196" spans="1:27" ht="15" customHeight="1">
      <c r="A196" s="320"/>
      <c r="B196" s="321"/>
      <c r="C196" s="321"/>
      <c r="D196" s="320"/>
      <c r="E196" s="321"/>
      <c r="F196" s="321"/>
      <c r="G196" s="321"/>
      <c r="H196" s="321"/>
      <c r="I196" s="321"/>
      <c r="J196" s="321"/>
      <c r="K196" s="321"/>
      <c r="L196" s="262"/>
      <c r="M196" s="262"/>
      <c r="N196" s="186"/>
      <c r="O196" s="186"/>
      <c r="P196" s="185"/>
      <c r="Q196" s="185"/>
      <c r="R196" s="185"/>
      <c r="S196" s="185"/>
      <c r="T196" s="185"/>
    </row>
    <row r="197" spans="1:27" ht="24" customHeight="1">
      <c r="A197" s="324" t="s">
        <v>1304</v>
      </c>
      <c r="B197" s="255"/>
      <c r="C197" s="255"/>
      <c r="D197" s="255"/>
      <c r="E197" s="255"/>
      <c r="F197" s="255"/>
      <c r="G197" s="255"/>
      <c r="H197" s="255"/>
      <c r="I197" s="255"/>
      <c r="J197" s="255"/>
      <c r="K197" s="255"/>
      <c r="L197" s="271"/>
      <c r="M197" s="271"/>
      <c r="N197" s="204"/>
      <c r="O197" s="204"/>
      <c r="P197" s="203"/>
      <c r="Q197" s="203"/>
      <c r="R197" s="203"/>
      <c r="S197" s="203"/>
      <c r="T197" s="203"/>
    </row>
    <row r="198" spans="1:27" ht="24" customHeight="1">
      <c r="A198" s="320" t="s">
        <v>164</v>
      </c>
      <c r="B198" s="321"/>
      <c r="C198" s="321"/>
      <c r="D198" s="320" t="s">
        <v>1003</v>
      </c>
      <c r="E198" s="429"/>
      <c r="F198" s="429"/>
      <c r="G198" s="429"/>
      <c r="H198" s="429"/>
      <c r="I198" s="429"/>
      <c r="J198" s="429"/>
      <c r="K198" s="429"/>
      <c r="L198" s="262">
        <v>263824</v>
      </c>
      <c r="M198" s="262">
        <v>305901</v>
      </c>
      <c r="N198" s="186">
        <v>318483</v>
      </c>
      <c r="O198" s="186">
        <v>318483</v>
      </c>
      <c r="P198" s="196">
        <v>335453</v>
      </c>
      <c r="Q198" s="196">
        <v>347194</v>
      </c>
      <c r="R198" s="196">
        <v>359346</v>
      </c>
      <c r="S198" s="196">
        <v>371923</v>
      </c>
      <c r="T198" s="196">
        <v>384940</v>
      </c>
      <c r="V198" s="487"/>
      <c r="W198" s="488"/>
      <c r="X198" s="488"/>
      <c r="Y198" s="488"/>
      <c r="Z198" s="187"/>
    </row>
    <row r="199" spans="1:27" ht="24" customHeight="1">
      <c r="A199" s="320" t="s">
        <v>1308</v>
      </c>
      <c r="B199" s="505"/>
      <c r="C199" s="505"/>
      <c r="D199" s="320" t="s">
        <v>73</v>
      </c>
      <c r="E199" s="505"/>
      <c r="F199" s="505"/>
      <c r="G199" s="505"/>
      <c r="H199" s="505"/>
      <c r="I199" s="505"/>
      <c r="J199" s="505"/>
      <c r="K199" s="505"/>
      <c r="L199" s="262">
        <v>0</v>
      </c>
      <c r="M199" s="262">
        <v>0</v>
      </c>
      <c r="N199" s="186">
        <v>5800</v>
      </c>
      <c r="O199" s="186">
        <v>5800</v>
      </c>
      <c r="P199" s="196">
        <v>8100</v>
      </c>
      <c r="Q199" s="196">
        <v>11600</v>
      </c>
      <c r="R199" s="196">
        <v>11600</v>
      </c>
      <c r="S199" s="196">
        <v>11600</v>
      </c>
      <c r="T199" s="196">
        <v>11600</v>
      </c>
      <c r="V199" s="487"/>
      <c r="W199" s="488"/>
      <c r="X199" s="488"/>
      <c r="Y199" s="488"/>
      <c r="Z199" s="187"/>
    </row>
    <row r="200" spans="1:27" ht="24" customHeight="1">
      <c r="A200" s="320" t="s">
        <v>163</v>
      </c>
      <c r="B200" s="321"/>
      <c r="C200" s="321"/>
      <c r="D200" s="320" t="s">
        <v>14</v>
      </c>
      <c r="E200" s="321"/>
      <c r="F200" s="321"/>
      <c r="G200" s="321"/>
      <c r="H200" s="321"/>
      <c r="I200" s="321"/>
      <c r="J200" s="321"/>
      <c r="K200" s="321"/>
      <c r="L200" s="264">
        <v>3906</v>
      </c>
      <c r="M200" s="264">
        <v>22225</v>
      </c>
      <c r="N200" s="189">
        <v>15000</v>
      </c>
      <c r="O200" s="189">
        <v>15000</v>
      </c>
      <c r="P200" s="188">
        <v>15000</v>
      </c>
      <c r="Q200" s="188">
        <v>15000</v>
      </c>
      <c r="R200" s="188">
        <v>15000</v>
      </c>
      <c r="S200" s="188">
        <v>15000</v>
      </c>
      <c r="T200" s="188">
        <v>15000</v>
      </c>
      <c r="V200" s="487"/>
      <c r="W200" s="488"/>
      <c r="X200" s="488"/>
      <c r="Y200" s="488"/>
    </row>
    <row r="201" spans="1:27" ht="24" customHeight="1">
      <c r="A201" s="320" t="s">
        <v>166</v>
      </c>
      <c r="B201" s="321"/>
      <c r="C201" s="321"/>
      <c r="D201" s="320" t="s">
        <v>8</v>
      </c>
      <c r="E201" s="321"/>
      <c r="F201" s="321"/>
      <c r="G201" s="321"/>
      <c r="H201" s="321"/>
      <c r="I201" s="321"/>
      <c r="J201" s="321"/>
      <c r="K201" s="321"/>
      <c r="L201" s="264">
        <v>28590</v>
      </c>
      <c r="M201" s="264">
        <v>36445</v>
      </c>
      <c r="N201" s="189">
        <v>39770</v>
      </c>
      <c r="O201" s="189">
        <v>39770</v>
      </c>
      <c r="P201" s="188">
        <v>38989</v>
      </c>
      <c r="Q201" s="188">
        <v>42566</v>
      </c>
      <c r="R201" s="188">
        <v>139140</v>
      </c>
      <c r="S201" s="188">
        <v>153308</v>
      </c>
      <c r="T201" s="188">
        <v>169031</v>
      </c>
      <c r="V201" s="487"/>
      <c r="W201" s="488"/>
      <c r="X201" s="488"/>
      <c r="Y201" s="488"/>
    </row>
    <row r="202" spans="1:27" ht="24" customHeight="1">
      <c r="A202" s="320" t="s">
        <v>165</v>
      </c>
      <c r="B202" s="255"/>
      <c r="C202" s="255"/>
      <c r="D202" s="320" t="s">
        <v>9</v>
      </c>
      <c r="E202" s="255"/>
      <c r="F202" s="255"/>
      <c r="G202" s="255"/>
      <c r="H202" s="255"/>
      <c r="I202" s="255"/>
      <c r="J202" s="255"/>
      <c r="K202" s="255"/>
      <c r="L202" s="264">
        <v>19795</v>
      </c>
      <c r="M202" s="264">
        <v>24235</v>
      </c>
      <c r="N202" s="189">
        <v>25253</v>
      </c>
      <c r="O202" s="189">
        <v>25253</v>
      </c>
      <c r="P202" s="196">
        <v>26703</v>
      </c>
      <c r="Q202" s="196">
        <v>27638</v>
      </c>
      <c r="R202" s="196">
        <v>28605</v>
      </c>
      <c r="S202" s="196">
        <v>29606</v>
      </c>
      <c r="T202" s="196">
        <v>30642</v>
      </c>
      <c r="V202" s="487"/>
      <c r="W202" s="488"/>
      <c r="X202" s="488"/>
      <c r="Y202" s="488"/>
    </row>
    <row r="203" spans="1:27" ht="24" customHeight="1">
      <c r="A203" s="320" t="s">
        <v>638</v>
      </c>
      <c r="B203" s="255"/>
      <c r="C203" s="255"/>
      <c r="D203" s="320" t="s">
        <v>13</v>
      </c>
      <c r="E203" s="255"/>
      <c r="F203" s="255"/>
      <c r="G203" s="255"/>
      <c r="H203" s="255"/>
      <c r="I203" s="255"/>
      <c r="J203" s="255"/>
      <c r="K203" s="255"/>
      <c r="L203" s="265">
        <v>82763</v>
      </c>
      <c r="M203" s="265">
        <v>94536</v>
      </c>
      <c r="N203" s="195">
        <v>104498</v>
      </c>
      <c r="O203" s="195">
        <v>104498</v>
      </c>
      <c r="P203" s="193">
        <v>108608</v>
      </c>
      <c r="Q203" s="193">
        <v>117297</v>
      </c>
      <c r="R203" s="193">
        <v>126681</v>
      </c>
      <c r="S203" s="193">
        <v>136815</v>
      </c>
      <c r="T203" s="193">
        <v>147760</v>
      </c>
      <c r="V203" s="487"/>
      <c r="W203" s="488"/>
      <c r="X203" s="487"/>
      <c r="Y203" s="488"/>
      <c r="AA203" s="187"/>
    </row>
    <row r="204" spans="1:27" ht="24" customHeight="1">
      <c r="A204" s="320" t="s">
        <v>639</v>
      </c>
      <c r="B204" s="255"/>
      <c r="C204" s="255"/>
      <c r="D204" s="320" t="s">
        <v>187</v>
      </c>
      <c r="E204" s="255"/>
      <c r="F204" s="255"/>
      <c r="G204" s="255"/>
      <c r="H204" s="255"/>
      <c r="I204" s="255"/>
      <c r="J204" s="255"/>
      <c r="K204" s="255"/>
      <c r="L204" s="265">
        <v>1251</v>
      </c>
      <c r="M204" s="265">
        <v>543</v>
      </c>
      <c r="N204" s="195">
        <v>570</v>
      </c>
      <c r="O204" s="195">
        <v>570</v>
      </c>
      <c r="P204" s="193">
        <v>570</v>
      </c>
      <c r="Q204" s="193">
        <v>576</v>
      </c>
      <c r="R204" s="193">
        <v>582</v>
      </c>
      <c r="S204" s="193">
        <v>588</v>
      </c>
      <c r="T204" s="193">
        <v>594</v>
      </c>
      <c r="V204" s="487"/>
      <c r="W204" s="488"/>
      <c r="X204" s="487"/>
      <c r="Y204" s="488"/>
      <c r="AA204" s="187"/>
    </row>
    <row r="205" spans="1:27" ht="24" customHeight="1">
      <c r="A205" s="320" t="s">
        <v>640</v>
      </c>
      <c r="B205" s="255"/>
      <c r="C205" s="255"/>
      <c r="D205" s="320" t="s">
        <v>652</v>
      </c>
      <c r="E205" s="255"/>
      <c r="F205" s="255"/>
      <c r="G205" s="255"/>
      <c r="H205" s="255"/>
      <c r="I205" s="255"/>
      <c r="J205" s="255"/>
      <c r="K205" s="255"/>
      <c r="L205" s="265">
        <v>6564</v>
      </c>
      <c r="M205" s="265">
        <v>5949</v>
      </c>
      <c r="N205" s="195">
        <v>6341</v>
      </c>
      <c r="O205" s="195">
        <v>6341</v>
      </c>
      <c r="P205" s="193">
        <v>7546</v>
      </c>
      <c r="Q205" s="193">
        <v>7923</v>
      </c>
      <c r="R205" s="193">
        <v>8319</v>
      </c>
      <c r="S205" s="193">
        <v>8735</v>
      </c>
      <c r="T205" s="193">
        <v>9172</v>
      </c>
      <c r="V205" s="487"/>
      <c r="W205" s="488"/>
      <c r="X205" s="487"/>
      <c r="Y205" s="488"/>
      <c r="AA205" s="187"/>
    </row>
    <row r="206" spans="1:27" ht="24" customHeight="1">
      <c r="A206" s="320" t="s">
        <v>658</v>
      </c>
      <c r="B206" s="255"/>
      <c r="C206" s="255"/>
      <c r="D206" s="320" t="s">
        <v>654</v>
      </c>
      <c r="E206" s="255"/>
      <c r="F206" s="255"/>
      <c r="G206" s="255"/>
      <c r="H206" s="255"/>
      <c r="I206" s="255"/>
      <c r="J206" s="255"/>
      <c r="K206" s="255"/>
      <c r="L206" s="265">
        <v>703</v>
      </c>
      <c r="M206" s="265">
        <v>739</v>
      </c>
      <c r="N206" s="195">
        <v>761</v>
      </c>
      <c r="O206" s="195">
        <v>761</v>
      </c>
      <c r="P206" s="193">
        <v>761</v>
      </c>
      <c r="Q206" s="193">
        <v>784</v>
      </c>
      <c r="R206" s="193">
        <v>808</v>
      </c>
      <c r="S206" s="193">
        <v>832</v>
      </c>
      <c r="T206" s="193">
        <v>857</v>
      </c>
      <c r="V206" s="487"/>
      <c r="W206" s="488"/>
      <c r="X206" s="487"/>
      <c r="Y206" s="488"/>
      <c r="AA206" s="187"/>
    </row>
    <row r="207" spans="1:27" ht="24" customHeight="1">
      <c r="A207" s="320" t="s">
        <v>171</v>
      </c>
      <c r="B207" s="321"/>
      <c r="C207" s="321"/>
      <c r="D207" s="320" t="s">
        <v>96</v>
      </c>
      <c r="E207" s="321"/>
      <c r="F207" s="321"/>
      <c r="G207" s="321"/>
      <c r="H207" s="321"/>
      <c r="I207" s="321"/>
      <c r="J207" s="321"/>
      <c r="K207" s="321"/>
      <c r="L207" s="262">
        <v>834</v>
      </c>
      <c r="M207" s="262">
        <v>0</v>
      </c>
      <c r="N207" s="186">
        <v>4000</v>
      </c>
      <c r="O207" s="186">
        <v>4000</v>
      </c>
      <c r="P207" s="185">
        <f>4000+800+1300+(4*500)</f>
        <v>8100</v>
      </c>
      <c r="Q207" s="185">
        <f>4000</f>
        <v>4000</v>
      </c>
      <c r="R207" s="185">
        <f>4000</f>
        <v>4000</v>
      </c>
      <c r="S207" s="185">
        <f>4000</f>
        <v>4000</v>
      </c>
      <c r="T207" s="185">
        <f>4000</f>
        <v>4000</v>
      </c>
    </row>
    <row r="208" spans="1:27" ht="24" customHeight="1">
      <c r="A208" s="320" t="s">
        <v>1107</v>
      </c>
      <c r="B208" s="321"/>
      <c r="C208" s="321"/>
      <c r="D208" s="320" t="s">
        <v>1103</v>
      </c>
      <c r="E208" s="417"/>
      <c r="F208" s="417"/>
      <c r="G208" s="417"/>
      <c r="H208" s="417"/>
      <c r="I208" s="417"/>
      <c r="J208" s="417"/>
      <c r="K208" s="417"/>
      <c r="L208" s="262">
        <v>0</v>
      </c>
      <c r="M208" s="262">
        <v>144650</v>
      </c>
      <c r="N208" s="186">
        <v>97370</v>
      </c>
      <c r="O208" s="186">
        <v>97370</v>
      </c>
      <c r="P208" s="185">
        <f t="shared" ref="P208:R208" si="32">P461</f>
        <v>163416</v>
      </c>
      <c r="Q208" s="185">
        <f t="shared" si="32"/>
        <v>41315</v>
      </c>
      <c r="R208" s="185">
        <f t="shared" si="32"/>
        <v>41315</v>
      </c>
      <c r="S208" s="185">
        <f>S461</f>
        <v>41315</v>
      </c>
      <c r="T208" s="185">
        <f>T461</f>
        <v>41315</v>
      </c>
      <c r="V208" s="487"/>
      <c r="W208" s="488"/>
      <c r="X208" s="703"/>
    </row>
    <row r="209" spans="1:26" ht="24" customHeight="1">
      <c r="A209" s="320" t="s">
        <v>1086</v>
      </c>
      <c r="B209" s="321"/>
      <c r="C209" s="321"/>
      <c r="D209" s="320" t="s">
        <v>1087</v>
      </c>
      <c r="E209" s="321"/>
      <c r="F209" s="321"/>
      <c r="G209" s="321"/>
      <c r="H209" s="321"/>
      <c r="I209" s="321"/>
      <c r="J209" s="321"/>
      <c r="K209" s="321"/>
      <c r="L209" s="262">
        <v>0</v>
      </c>
      <c r="M209" s="262">
        <v>8390</v>
      </c>
      <c r="N209" s="186">
        <v>20000</v>
      </c>
      <c r="O209" s="186">
        <v>20000</v>
      </c>
      <c r="P209" s="185">
        <f t="shared" ref="P209:S209" si="33">P32</f>
        <v>19000</v>
      </c>
      <c r="Q209" s="185">
        <f t="shared" si="33"/>
        <v>19000</v>
      </c>
      <c r="R209" s="185">
        <f t="shared" si="33"/>
        <v>19000</v>
      </c>
      <c r="S209" s="185">
        <f t="shared" si="33"/>
        <v>19000</v>
      </c>
      <c r="T209" s="185">
        <f>T32</f>
        <v>19000</v>
      </c>
      <c r="V209" s="187"/>
    </row>
    <row r="210" spans="1:26" ht="24" customHeight="1">
      <c r="A210" s="320" t="s">
        <v>170</v>
      </c>
      <c r="B210" s="255"/>
      <c r="C210" s="255"/>
      <c r="D210" s="320" t="s">
        <v>240</v>
      </c>
      <c r="E210" s="255"/>
      <c r="F210" s="255"/>
      <c r="G210" s="255"/>
      <c r="H210" s="255"/>
      <c r="I210" s="255"/>
      <c r="J210" s="255"/>
      <c r="K210" s="255"/>
      <c r="L210" s="262">
        <v>2395</v>
      </c>
      <c r="M210" s="262">
        <v>2520</v>
      </c>
      <c r="N210" s="186">
        <v>3000</v>
      </c>
      <c r="O210" s="186">
        <v>3000</v>
      </c>
      <c r="P210" s="185">
        <v>3000</v>
      </c>
      <c r="Q210" s="185">
        <v>3000</v>
      </c>
      <c r="R210" s="185">
        <v>3000</v>
      </c>
      <c r="S210" s="185">
        <v>3000</v>
      </c>
      <c r="T210" s="185">
        <v>3000</v>
      </c>
      <c r="V210" s="187"/>
    </row>
    <row r="211" spans="1:26" ht="24" customHeight="1">
      <c r="A211" s="320" t="s">
        <v>790</v>
      </c>
      <c r="B211" s="255"/>
      <c r="C211" s="255"/>
      <c r="D211" s="320" t="s">
        <v>791</v>
      </c>
      <c r="E211" s="416"/>
      <c r="F211" s="416"/>
      <c r="G211" s="416"/>
      <c r="H211" s="416"/>
      <c r="I211" s="416"/>
      <c r="J211" s="416"/>
      <c r="K211" s="416"/>
      <c r="L211" s="262">
        <v>13984</v>
      </c>
      <c r="M211" s="262">
        <v>23836</v>
      </c>
      <c r="N211" s="186">
        <v>0</v>
      </c>
      <c r="O211" s="186">
        <v>0</v>
      </c>
      <c r="P211" s="185">
        <v>0</v>
      </c>
      <c r="Q211" s="185">
        <v>0</v>
      </c>
      <c r="R211" s="185">
        <v>0</v>
      </c>
      <c r="S211" s="185">
        <v>0</v>
      </c>
      <c r="T211" s="185">
        <v>0</v>
      </c>
    </row>
    <row r="212" spans="1:26" ht="24" customHeight="1">
      <c r="A212" s="320" t="s">
        <v>686</v>
      </c>
      <c r="B212" s="323"/>
      <c r="C212" s="323"/>
      <c r="D212" s="320" t="s">
        <v>687</v>
      </c>
      <c r="E212" s="323"/>
      <c r="F212" s="323"/>
      <c r="G212" s="323"/>
      <c r="H212" s="323"/>
      <c r="I212" s="323"/>
      <c r="J212" s="323"/>
      <c r="K212" s="323"/>
      <c r="L212" s="262">
        <v>110</v>
      </c>
      <c r="M212" s="262">
        <v>0</v>
      </c>
      <c r="N212" s="186">
        <v>0</v>
      </c>
      <c r="O212" s="186">
        <v>0</v>
      </c>
      <c r="P212" s="185">
        <v>0</v>
      </c>
      <c r="Q212" s="185">
        <v>0</v>
      </c>
      <c r="R212" s="185">
        <v>0</v>
      </c>
      <c r="S212" s="185">
        <v>0</v>
      </c>
      <c r="T212" s="185">
        <v>0</v>
      </c>
      <c r="V212" s="187"/>
    </row>
    <row r="213" spans="1:26" ht="24" customHeight="1">
      <c r="A213" s="320" t="s">
        <v>248</v>
      </c>
      <c r="B213" s="255"/>
      <c r="C213" s="255"/>
      <c r="D213" s="320" t="s">
        <v>177</v>
      </c>
      <c r="E213" s="428"/>
      <c r="F213" s="428"/>
      <c r="G213" s="428"/>
      <c r="H213" s="428"/>
      <c r="I213" s="428"/>
      <c r="J213" s="428"/>
      <c r="K213" s="428"/>
      <c r="L213" s="264">
        <v>6730</v>
      </c>
      <c r="M213" s="264">
        <v>6865</v>
      </c>
      <c r="N213" s="189">
        <v>8000</v>
      </c>
      <c r="O213" s="189">
        <v>8000</v>
      </c>
      <c r="P213" s="188">
        <f>ROUND(O213*1.05,0)</f>
        <v>8400</v>
      </c>
      <c r="Q213" s="188">
        <f t="shared" ref="Q213:T213" si="34">ROUND(P213*1.05,0)</f>
        <v>8820</v>
      </c>
      <c r="R213" s="188">
        <f t="shared" si="34"/>
        <v>9261</v>
      </c>
      <c r="S213" s="188">
        <f t="shared" si="34"/>
        <v>9724</v>
      </c>
      <c r="T213" s="188">
        <f t="shared" si="34"/>
        <v>10210</v>
      </c>
      <c r="V213" s="190"/>
    </row>
    <row r="214" spans="1:26" ht="24" customHeight="1">
      <c r="A214" s="320" t="s">
        <v>244</v>
      </c>
      <c r="B214" s="255"/>
      <c r="C214" s="255"/>
      <c r="D214" s="320" t="s">
        <v>1398</v>
      </c>
      <c r="E214" s="594"/>
      <c r="F214" s="594"/>
      <c r="G214" s="594"/>
      <c r="H214" s="594"/>
      <c r="I214" s="594"/>
      <c r="J214" s="594"/>
      <c r="K214" s="594"/>
      <c r="L214" s="262">
        <v>17080</v>
      </c>
      <c r="M214" s="262">
        <v>20000</v>
      </c>
      <c r="N214" s="189">
        <v>30000</v>
      </c>
      <c r="O214" s="189">
        <v>30000</v>
      </c>
      <c r="P214" s="188">
        <v>20000</v>
      </c>
      <c r="Q214" s="188">
        <v>20000</v>
      </c>
      <c r="R214" s="188">
        <v>20000</v>
      </c>
      <c r="S214" s="188">
        <v>20000</v>
      </c>
      <c r="T214" s="188">
        <v>20000</v>
      </c>
      <c r="V214" s="190"/>
    </row>
    <row r="215" spans="1:26" ht="24" customHeight="1">
      <c r="A215" s="320" t="s">
        <v>169</v>
      </c>
      <c r="B215" s="255"/>
      <c r="C215" s="255"/>
      <c r="D215" s="320" t="s">
        <v>10</v>
      </c>
      <c r="E215" s="614"/>
      <c r="F215" s="614"/>
      <c r="G215" s="614"/>
      <c r="H215" s="614"/>
      <c r="I215" s="614"/>
      <c r="J215" s="614"/>
      <c r="K215" s="614"/>
      <c r="L215" s="264">
        <v>773</v>
      </c>
      <c r="M215" s="264">
        <f>2052-M219</f>
        <v>727</v>
      </c>
      <c r="N215" s="189">
        <v>1000</v>
      </c>
      <c r="O215" s="189">
        <v>1000</v>
      </c>
      <c r="P215" s="188">
        <f>1000+3900</f>
        <v>4900</v>
      </c>
      <c r="Q215" s="188">
        <f t="shared" ref="Q215:T215" si="35">1000+3900</f>
        <v>4900</v>
      </c>
      <c r="R215" s="188">
        <f t="shared" si="35"/>
        <v>4900</v>
      </c>
      <c r="S215" s="188">
        <f t="shared" si="35"/>
        <v>4900</v>
      </c>
      <c r="T215" s="188">
        <f t="shared" si="35"/>
        <v>4900</v>
      </c>
    </row>
    <row r="216" spans="1:26" ht="24" customHeight="1">
      <c r="A216" s="320" t="s">
        <v>168</v>
      </c>
      <c r="B216" s="459"/>
      <c r="C216" s="459"/>
      <c r="D216" s="320" t="s">
        <v>17</v>
      </c>
      <c r="E216" s="460"/>
      <c r="F216" s="460"/>
      <c r="G216" s="460"/>
      <c r="H216" s="460"/>
      <c r="I216" s="460"/>
      <c r="J216" s="460"/>
      <c r="K216" s="460"/>
      <c r="L216" s="264">
        <v>53803</v>
      </c>
      <c r="M216" s="264">
        <v>67815</v>
      </c>
      <c r="N216" s="189">
        <v>0</v>
      </c>
      <c r="O216" s="189">
        <v>0</v>
      </c>
      <c r="P216" s="188">
        <v>0</v>
      </c>
      <c r="Q216" s="188">
        <v>0</v>
      </c>
      <c r="R216" s="188">
        <v>0</v>
      </c>
      <c r="S216" s="188">
        <v>0</v>
      </c>
      <c r="T216" s="188">
        <v>0</v>
      </c>
      <c r="V216" s="190"/>
    </row>
    <row r="217" spans="1:26" ht="24" customHeight="1">
      <c r="A217" s="320" t="s">
        <v>167</v>
      </c>
      <c r="B217" s="321"/>
      <c r="C217" s="321"/>
      <c r="D217" s="320" t="s">
        <v>91</v>
      </c>
      <c r="E217" s="255"/>
      <c r="F217" s="255"/>
      <c r="G217" s="255"/>
      <c r="H217" s="255"/>
      <c r="I217" s="255"/>
      <c r="J217" s="255"/>
      <c r="K217" s="255"/>
      <c r="L217" s="285">
        <v>1181</v>
      </c>
      <c r="M217" s="285">
        <v>984</v>
      </c>
      <c r="N217" s="224">
        <v>1100</v>
      </c>
      <c r="O217" s="224">
        <v>1100</v>
      </c>
      <c r="P217" s="223">
        <v>1100</v>
      </c>
      <c r="Q217" s="223">
        <v>1100</v>
      </c>
      <c r="R217" s="223">
        <v>1100</v>
      </c>
      <c r="S217" s="223">
        <v>1100</v>
      </c>
      <c r="T217" s="223">
        <v>1100</v>
      </c>
    </row>
    <row r="218" spans="1:26" ht="24" customHeight="1">
      <c r="A218" s="320" t="s">
        <v>1072</v>
      </c>
      <c r="B218" s="321"/>
      <c r="C218" s="321"/>
      <c r="D218" s="320" t="s">
        <v>1073</v>
      </c>
      <c r="E218" s="321"/>
      <c r="F218" s="321"/>
      <c r="G218" s="321"/>
      <c r="H218" s="321"/>
      <c r="I218" s="321"/>
      <c r="J218" s="321"/>
      <c r="K218" s="321"/>
      <c r="L218" s="281">
        <v>28769</v>
      </c>
      <c r="M218" s="281">
        <v>53541</v>
      </c>
      <c r="N218" s="225">
        <v>25000</v>
      </c>
      <c r="O218" s="225">
        <v>25000</v>
      </c>
      <c r="P218" s="217">
        <v>30000</v>
      </c>
      <c r="Q218" s="217">
        <v>30000</v>
      </c>
      <c r="R218" s="217">
        <v>30000</v>
      </c>
      <c r="S218" s="217">
        <v>30000</v>
      </c>
      <c r="T218" s="217">
        <v>30000</v>
      </c>
      <c r="V218" s="187"/>
    </row>
    <row r="219" spans="1:26" ht="24" customHeight="1">
      <c r="A219" s="320" t="s">
        <v>1195</v>
      </c>
      <c r="B219" s="410"/>
      <c r="C219" s="410"/>
      <c r="D219" s="320" t="s">
        <v>1170</v>
      </c>
      <c r="E219" s="427"/>
      <c r="F219" s="427"/>
      <c r="G219" s="427"/>
      <c r="H219" s="427"/>
      <c r="I219" s="427"/>
      <c r="J219" s="427"/>
      <c r="K219" s="427"/>
      <c r="L219" s="281">
        <v>0</v>
      </c>
      <c r="M219" s="281">
        <v>1325</v>
      </c>
      <c r="N219" s="225">
        <v>2000</v>
      </c>
      <c r="O219" s="225">
        <v>2000</v>
      </c>
      <c r="P219" s="217">
        <v>1500</v>
      </c>
      <c r="Q219" s="217">
        <v>1500</v>
      </c>
      <c r="R219" s="217">
        <v>1500</v>
      </c>
      <c r="S219" s="217">
        <v>1500</v>
      </c>
      <c r="T219" s="217">
        <v>1500</v>
      </c>
      <c r="V219" s="187"/>
    </row>
    <row r="220" spans="1:26" ht="24" customHeight="1">
      <c r="A220" s="320" t="s">
        <v>176</v>
      </c>
      <c r="B220" s="321"/>
      <c r="C220" s="321"/>
      <c r="D220" s="320" t="s">
        <v>101</v>
      </c>
      <c r="E220" s="321"/>
      <c r="F220" s="321"/>
      <c r="G220" s="321"/>
      <c r="H220" s="321"/>
      <c r="I220" s="321"/>
      <c r="J220" s="321"/>
      <c r="K220" s="321"/>
      <c r="L220" s="262">
        <v>2921</v>
      </c>
      <c r="M220" s="262">
        <v>3263</v>
      </c>
      <c r="N220" s="186">
        <v>4200</v>
      </c>
      <c r="O220" s="186">
        <v>4200</v>
      </c>
      <c r="P220" s="185">
        <f>ROUND(O220*1.05,0)</f>
        <v>4410</v>
      </c>
      <c r="Q220" s="185">
        <f t="shared" ref="Q220:T220" si="36">ROUND(P220*1.05,0)</f>
        <v>4631</v>
      </c>
      <c r="R220" s="185">
        <f t="shared" si="36"/>
        <v>4863</v>
      </c>
      <c r="S220" s="185">
        <f t="shared" si="36"/>
        <v>5106</v>
      </c>
      <c r="T220" s="185">
        <f t="shared" si="36"/>
        <v>5361</v>
      </c>
    </row>
    <row r="221" spans="1:26" ht="24" customHeight="1">
      <c r="A221" s="320" t="s">
        <v>175</v>
      </c>
      <c r="B221" s="321"/>
      <c r="C221" s="321"/>
      <c r="D221" s="320" t="s">
        <v>12</v>
      </c>
      <c r="E221" s="427"/>
      <c r="F221" s="427"/>
      <c r="G221" s="427"/>
      <c r="H221" s="427"/>
      <c r="I221" s="427"/>
      <c r="J221" s="427"/>
      <c r="K221" s="427"/>
      <c r="L221" s="265">
        <v>7364</v>
      </c>
      <c r="M221" s="265">
        <v>10378</v>
      </c>
      <c r="N221" s="186">
        <v>10000</v>
      </c>
      <c r="O221" s="186">
        <v>10000</v>
      </c>
      <c r="P221" s="185">
        <f>ROUND(O221*1.05,0)</f>
        <v>10500</v>
      </c>
      <c r="Q221" s="185">
        <f>ROUND(P221*1.05,0)</f>
        <v>11025</v>
      </c>
      <c r="R221" s="185">
        <f t="shared" ref="R221:T221" si="37">ROUND(Q221*1.05,0)</f>
        <v>11576</v>
      </c>
      <c r="S221" s="185">
        <f t="shared" si="37"/>
        <v>12155</v>
      </c>
      <c r="T221" s="185">
        <f t="shared" si="37"/>
        <v>12763</v>
      </c>
      <c r="V221" s="220"/>
    </row>
    <row r="222" spans="1:26" ht="24" customHeight="1">
      <c r="A222" s="320" t="s">
        <v>174</v>
      </c>
      <c r="B222" s="321"/>
      <c r="C222" s="321"/>
      <c r="D222" s="320" t="s">
        <v>178</v>
      </c>
      <c r="E222" s="321"/>
      <c r="F222" s="321"/>
      <c r="G222" s="321"/>
      <c r="H222" s="321"/>
      <c r="I222" s="321"/>
      <c r="J222" s="321"/>
      <c r="K222" s="321"/>
      <c r="L222" s="262">
        <v>0</v>
      </c>
      <c r="M222" s="262">
        <v>0</v>
      </c>
      <c r="N222" s="186">
        <v>2000</v>
      </c>
      <c r="O222" s="186">
        <v>0</v>
      </c>
      <c r="P222" s="185">
        <v>0</v>
      </c>
      <c r="Q222" s="185">
        <v>2000</v>
      </c>
      <c r="R222" s="185">
        <v>2000</v>
      </c>
      <c r="S222" s="185">
        <v>2000</v>
      </c>
      <c r="T222" s="185">
        <v>2000</v>
      </c>
      <c r="V222" s="187"/>
      <c r="Z222" s="187"/>
    </row>
    <row r="223" spans="1:26" ht="24" customHeight="1">
      <c r="A223" s="320" t="s">
        <v>1074</v>
      </c>
      <c r="B223" s="321"/>
      <c r="C223" s="321"/>
      <c r="D223" s="320" t="s">
        <v>1075</v>
      </c>
      <c r="E223" s="321"/>
      <c r="F223" s="321"/>
      <c r="G223" s="321"/>
      <c r="H223" s="321"/>
      <c r="I223" s="321"/>
      <c r="J223" s="321"/>
      <c r="K223" s="321"/>
      <c r="L223" s="262">
        <v>0</v>
      </c>
      <c r="M223" s="262">
        <v>20578</v>
      </c>
      <c r="N223" s="186">
        <v>25000</v>
      </c>
      <c r="O223" s="186">
        <v>25000</v>
      </c>
      <c r="P223" s="185">
        <v>25000</v>
      </c>
      <c r="Q223" s="185">
        <v>25000</v>
      </c>
      <c r="R223" s="185">
        <v>25000</v>
      </c>
      <c r="S223" s="185">
        <v>25000</v>
      </c>
      <c r="T223" s="185">
        <v>25000</v>
      </c>
      <c r="V223" s="187"/>
      <c r="Z223" s="187"/>
    </row>
    <row r="224" spans="1:26" ht="24" customHeight="1">
      <c r="A224" s="320" t="s">
        <v>241</v>
      </c>
      <c r="B224" s="321"/>
      <c r="C224" s="321"/>
      <c r="D224" s="320" t="s">
        <v>16</v>
      </c>
      <c r="E224" s="427"/>
      <c r="F224" s="427"/>
      <c r="G224" s="427"/>
      <c r="H224" s="427"/>
      <c r="I224" s="427"/>
      <c r="J224" s="427"/>
      <c r="K224" s="427"/>
      <c r="L224" s="264">
        <v>2691</v>
      </c>
      <c r="M224" s="264">
        <v>1006</v>
      </c>
      <c r="N224" s="189">
        <v>2000</v>
      </c>
      <c r="O224" s="189">
        <v>2000</v>
      </c>
      <c r="P224" s="188">
        <f>2000+4000-1000</f>
        <v>5000</v>
      </c>
      <c r="Q224" s="188">
        <v>2000</v>
      </c>
      <c r="R224" s="188">
        <v>2000</v>
      </c>
      <c r="S224" s="188">
        <v>2000</v>
      </c>
      <c r="T224" s="188">
        <v>2000</v>
      </c>
    </row>
    <row r="225" spans="1:30" ht="24" customHeight="1">
      <c r="A225" s="320" t="s">
        <v>229</v>
      </c>
      <c r="B225" s="321"/>
      <c r="C225" s="321"/>
      <c r="D225" s="320" t="s">
        <v>1169</v>
      </c>
      <c r="E225" s="427"/>
      <c r="F225" s="427"/>
      <c r="G225" s="427"/>
      <c r="H225" s="427"/>
      <c r="I225" s="427"/>
      <c r="J225" s="427"/>
      <c r="K225" s="427"/>
      <c r="L225" s="264">
        <v>30984</v>
      </c>
      <c r="M225" s="264">
        <v>21235</v>
      </c>
      <c r="N225" s="189">
        <v>20000</v>
      </c>
      <c r="O225" s="189">
        <v>20000</v>
      </c>
      <c r="P225" s="188">
        <v>20000</v>
      </c>
      <c r="Q225" s="188">
        <v>20000</v>
      </c>
      <c r="R225" s="188">
        <v>20000</v>
      </c>
      <c r="S225" s="188">
        <v>20000</v>
      </c>
      <c r="T225" s="188">
        <v>20000</v>
      </c>
    </row>
    <row r="226" spans="1:30" ht="24" customHeight="1">
      <c r="A226" s="320" t="s">
        <v>173</v>
      </c>
      <c r="B226" s="255"/>
      <c r="C226" s="255"/>
      <c r="D226" s="320" t="s">
        <v>792</v>
      </c>
      <c r="E226" s="416"/>
      <c r="F226" s="416"/>
      <c r="G226" s="416"/>
      <c r="H226" s="416"/>
      <c r="I226" s="416"/>
      <c r="J226" s="416"/>
      <c r="K226" s="416"/>
      <c r="L226" s="262">
        <v>3894</v>
      </c>
      <c r="M226" s="262">
        <v>5877</v>
      </c>
      <c r="N226" s="189">
        <v>0</v>
      </c>
      <c r="O226" s="189">
        <v>0</v>
      </c>
      <c r="P226" s="188">
        <v>0</v>
      </c>
      <c r="Q226" s="188">
        <v>0</v>
      </c>
      <c r="R226" s="188">
        <v>0</v>
      </c>
      <c r="S226" s="188">
        <v>0</v>
      </c>
      <c r="T226" s="188">
        <v>0</v>
      </c>
    </row>
    <row r="227" spans="1:30" ht="24" customHeight="1">
      <c r="A227" s="320" t="s">
        <v>172</v>
      </c>
      <c r="B227" s="321"/>
      <c r="C227" s="321"/>
      <c r="D227" s="320" t="s">
        <v>145</v>
      </c>
      <c r="E227" s="417"/>
      <c r="F227" s="417"/>
      <c r="G227" s="417"/>
      <c r="H227" s="417"/>
      <c r="I227" s="417"/>
      <c r="J227" s="417"/>
      <c r="K227" s="417"/>
      <c r="L227" s="269">
        <v>23204</v>
      </c>
      <c r="M227" s="269">
        <v>31692</v>
      </c>
      <c r="N227" s="214">
        <v>27478</v>
      </c>
      <c r="O227" s="214">
        <v>27478</v>
      </c>
      <c r="P227" s="213">
        <f t="shared" ref="P227:T227" si="38">ROUND(O227*1.07,0)</f>
        <v>29401</v>
      </c>
      <c r="Q227" s="213">
        <f t="shared" si="38"/>
        <v>31459</v>
      </c>
      <c r="R227" s="213">
        <f t="shared" si="38"/>
        <v>33661</v>
      </c>
      <c r="S227" s="213">
        <f t="shared" si="38"/>
        <v>36017</v>
      </c>
      <c r="T227" s="213">
        <f t="shared" si="38"/>
        <v>38538</v>
      </c>
      <c r="V227" s="187"/>
      <c r="Y227" s="241"/>
    </row>
    <row r="228" spans="1:30" s="255" customFormat="1" ht="24" customHeight="1">
      <c r="A228" s="320"/>
      <c r="B228" s="323"/>
      <c r="C228" s="323"/>
      <c r="D228" s="320"/>
      <c r="E228" s="323"/>
      <c r="F228" s="323"/>
      <c r="G228" s="323"/>
      <c r="H228" s="323"/>
      <c r="I228" s="323"/>
      <c r="J228" s="323"/>
      <c r="K228" s="323"/>
      <c r="L228" s="287">
        <f t="shared" ref="L228" si="39">SUM(L198:L227)</f>
        <v>604113</v>
      </c>
      <c r="M228" s="287">
        <f t="shared" ref="M228:T228" si="40">SUM(M198:M227)</f>
        <v>915255</v>
      </c>
      <c r="N228" s="278">
        <f t="shared" ref="N228:O228" si="41">SUM(N198:N227)</f>
        <v>798624</v>
      </c>
      <c r="O228" s="278">
        <f t="shared" si="41"/>
        <v>796624</v>
      </c>
      <c r="P228" s="287">
        <f t="shared" ref="P228:S228" si="42">SUM(P198:P227)</f>
        <v>895457</v>
      </c>
      <c r="Q228" s="287">
        <f t="shared" si="42"/>
        <v>800328</v>
      </c>
      <c r="R228" s="287">
        <f t="shared" si="42"/>
        <v>923257</v>
      </c>
      <c r="S228" s="287">
        <f t="shared" si="42"/>
        <v>965224</v>
      </c>
      <c r="T228" s="287">
        <f t="shared" si="40"/>
        <v>1010283</v>
      </c>
      <c r="U228" s="542"/>
    </row>
    <row r="229" spans="1:30" ht="15" customHeight="1">
      <c r="A229" s="320"/>
      <c r="B229" s="323"/>
      <c r="C229" s="323"/>
      <c r="D229" s="320"/>
      <c r="E229" s="323"/>
      <c r="F229" s="323"/>
      <c r="G229" s="323"/>
      <c r="H229" s="323"/>
      <c r="I229" s="323"/>
      <c r="J229" s="323"/>
      <c r="K229" s="323"/>
      <c r="L229" s="265"/>
      <c r="M229" s="265"/>
      <c r="N229" s="195"/>
      <c r="O229" s="195"/>
      <c r="P229" s="192"/>
      <c r="Q229" s="192"/>
      <c r="R229" s="192"/>
      <c r="S229" s="192"/>
      <c r="T229" s="192"/>
      <c r="V229" s="637"/>
      <c r="W229" s="637"/>
      <c r="X229" s="637"/>
      <c r="Y229" s="637"/>
      <c r="Z229" s="637"/>
      <c r="AA229" s="637"/>
      <c r="AB229" s="447"/>
      <c r="AC229" s="447"/>
      <c r="AD229" s="447"/>
    </row>
    <row r="230" spans="1:30" ht="24" customHeight="1">
      <c r="A230" s="324" t="s">
        <v>1305</v>
      </c>
      <c r="B230" s="255"/>
      <c r="C230" s="255"/>
      <c r="D230" s="255"/>
      <c r="E230" s="255"/>
      <c r="F230" s="255"/>
      <c r="G230" s="255"/>
      <c r="H230" s="255"/>
      <c r="I230" s="255"/>
      <c r="J230" s="255"/>
      <c r="K230" s="255"/>
      <c r="L230" s="271"/>
      <c r="M230" s="271"/>
      <c r="N230" s="204"/>
      <c r="O230" s="204"/>
      <c r="P230" s="203"/>
      <c r="Q230" s="203"/>
      <c r="R230" s="203"/>
      <c r="S230" s="203"/>
      <c r="T230" s="203"/>
      <c r="V230" s="638"/>
      <c r="W230" s="638"/>
      <c r="X230" s="636"/>
      <c r="Y230" s="638"/>
      <c r="Z230" s="636"/>
      <c r="AA230" s="638"/>
      <c r="AB230" s="636"/>
      <c r="AC230" s="447"/>
      <c r="AD230" s="636"/>
    </row>
    <row r="231" spans="1:30" ht="24" customHeight="1">
      <c r="A231" s="255" t="s">
        <v>801</v>
      </c>
      <c r="B231" s="255"/>
      <c r="C231" s="255"/>
      <c r="D231" s="320" t="s">
        <v>802</v>
      </c>
      <c r="E231" s="618"/>
      <c r="F231" s="618"/>
      <c r="G231" s="618"/>
      <c r="H231" s="618"/>
      <c r="I231" s="618"/>
      <c r="J231" s="618"/>
      <c r="K231" s="618"/>
      <c r="L231" s="264">
        <v>136335</v>
      </c>
      <c r="M231" s="264">
        <v>142762</v>
      </c>
      <c r="N231" s="189">
        <v>75000</v>
      </c>
      <c r="O231" s="189">
        <v>77500</v>
      </c>
      <c r="P231" s="188">
        <v>35000</v>
      </c>
      <c r="Q231" s="188">
        <v>36000</v>
      </c>
      <c r="R231" s="188">
        <v>36000</v>
      </c>
      <c r="S231" s="188">
        <v>36000</v>
      </c>
      <c r="T231" s="188">
        <v>36000</v>
      </c>
      <c r="V231" s="638"/>
      <c r="W231" s="638"/>
      <c r="X231" s="639"/>
      <c r="Y231" s="638"/>
      <c r="Z231" s="639"/>
      <c r="AA231" s="638"/>
      <c r="AB231" s="639"/>
      <c r="AC231" s="447"/>
      <c r="AD231" s="636"/>
    </row>
    <row r="232" spans="1:30" ht="24" customHeight="1">
      <c r="A232" s="320" t="s">
        <v>181</v>
      </c>
      <c r="B232" s="321"/>
      <c r="C232" s="321"/>
      <c r="D232" s="320" t="s">
        <v>183</v>
      </c>
      <c r="E232" s="617"/>
      <c r="F232" s="617"/>
      <c r="G232" s="617"/>
      <c r="H232" s="617"/>
      <c r="I232" s="617"/>
      <c r="J232" s="617"/>
      <c r="K232" s="617"/>
      <c r="L232" s="262">
        <v>903061</v>
      </c>
      <c r="M232" s="262">
        <v>981513</v>
      </c>
      <c r="N232" s="186">
        <v>1031701</v>
      </c>
      <c r="O232" s="186">
        <v>1100000</v>
      </c>
      <c r="P232" s="185">
        <f>P42</f>
        <v>1148450</v>
      </c>
      <c r="Q232" s="185">
        <f t="shared" ref="Q232:S232" si="43">Q42</f>
        <v>1182904</v>
      </c>
      <c r="R232" s="185">
        <f>R42</f>
        <v>1218391</v>
      </c>
      <c r="S232" s="185">
        <f t="shared" si="43"/>
        <v>1254943</v>
      </c>
      <c r="T232" s="185">
        <f>T42</f>
        <v>1292591</v>
      </c>
      <c r="V232" s="638"/>
      <c r="W232" s="638"/>
      <c r="X232" s="638"/>
      <c r="Y232" s="638"/>
      <c r="Z232" s="638"/>
      <c r="AA232" s="638"/>
      <c r="AB232" s="447"/>
      <c r="AC232" s="447"/>
      <c r="AD232" s="447"/>
    </row>
    <row r="233" spans="1:30" ht="24" customHeight="1">
      <c r="A233" s="320" t="s">
        <v>180</v>
      </c>
      <c r="B233" s="255"/>
      <c r="C233" s="255"/>
      <c r="D233" s="320" t="s">
        <v>182</v>
      </c>
      <c r="E233" s="255"/>
      <c r="F233" s="255"/>
      <c r="G233" s="255"/>
      <c r="H233" s="255"/>
      <c r="I233" s="255"/>
      <c r="J233" s="255"/>
      <c r="K233" s="255"/>
      <c r="L233" s="270">
        <v>4080</v>
      </c>
      <c r="M233" s="270">
        <v>5520</v>
      </c>
      <c r="N233" s="212">
        <v>6000</v>
      </c>
      <c r="O233" s="212">
        <v>6000</v>
      </c>
      <c r="P233" s="200">
        <v>6000</v>
      </c>
      <c r="Q233" s="200">
        <v>6000</v>
      </c>
      <c r="R233" s="200">
        <v>6000</v>
      </c>
      <c r="S233" s="200">
        <v>6000</v>
      </c>
      <c r="T233" s="200">
        <v>6000</v>
      </c>
      <c r="V233" s="187"/>
    </row>
    <row r="234" spans="1:30" s="255" customFormat="1" ht="24" customHeight="1">
      <c r="A234" s="320"/>
      <c r="D234" s="320"/>
      <c r="L234" s="288">
        <f t="shared" ref="L234" si="44">SUM(L231:L233)</f>
        <v>1043476</v>
      </c>
      <c r="M234" s="288">
        <f t="shared" ref="M234:T234" si="45">SUM(M231:M233)</f>
        <v>1129795</v>
      </c>
      <c r="N234" s="280">
        <f t="shared" ref="N234:O234" si="46">SUM(N231:N233)</f>
        <v>1112701</v>
      </c>
      <c r="O234" s="280">
        <f t="shared" si="46"/>
        <v>1183500</v>
      </c>
      <c r="P234" s="288">
        <f t="shared" si="45"/>
        <v>1189450</v>
      </c>
      <c r="Q234" s="288">
        <f t="shared" si="45"/>
        <v>1224904</v>
      </c>
      <c r="R234" s="288">
        <f t="shared" si="45"/>
        <v>1260391</v>
      </c>
      <c r="S234" s="288">
        <f t="shared" ref="S234" si="47">SUM(S231:S233)</f>
        <v>1296943</v>
      </c>
      <c r="T234" s="288">
        <f t="shared" si="45"/>
        <v>1334591</v>
      </c>
      <c r="U234" s="542"/>
    </row>
    <row r="235" spans="1:30" s="255" customFormat="1" ht="15" customHeight="1">
      <c r="A235" s="320"/>
      <c r="D235" s="320"/>
      <c r="L235" s="288"/>
      <c r="M235" s="288"/>
      <c r="N235" s="280"/>
      <c r="O235" s="280"/>
      <c r="P235" s="288"/>
      <c r="Q235" s="288"/>
      <c r="R235" s="288"/>
      <c r="S235" s="288"/>
      <c r="T235" s="288"/>
      <c r="U235" s="542"/>
    </row>
    <row r="236" spans="1:30" s="255" customFormat="1" ht="24" customHeight="1">
      <c r="A236" s="320"/>
      <c r="D236" s="320"/>
      <c r="F236" s="752" t="s">
        <v>1048</v>
      </c>
      <c r="G236" s="752"/>
      <c r="H236" s="752"/>
      <c r="I236" s="752"/>
      <c r="J236" s="752"/>
      <c r="K236" s="752"/>
      <c r="L236" s="288">
        <f t="shared" ref="L236" si="48">L228+L234</f>
        <v>1647589</v>
      </c>
      <c r="M236" s="288">
        <f t="shared" ref="M236:T236" si="49">M228+M234</f>
        <v>2045050</v>
      </c>
      <c r="N236" s="280">
        <f t="shared" ref="N236:O236" si="50">N228+N234</f>
        <v>1911325</v>
      </c>
      <c r="O236" s="280">
        <f t="shared" si="50"/>
        <v>1980124</v>
      </c>
      <c r="P236" s="288">
        <f t="shared" si="49"/>
        <v>2084907</v>
      </c>
      <c r="Q236" s="288">
        <f t="shared" si="49"/>
        <v>2025232</v>
      </c>
      <c r="R236" s="288">
        <f t="shared" si="49"/>
        <v>2183648</v>
      </c>
      <c r="S236" s="288">
        <f t="shared" ref="S236" si="51">S228+S234</f>
        <v>2262167</v>
      </c>
      <c r="T236" s="288">
        <f t="shared" si="49"/>
        <v>2344874</v>
      </c>
      <c r="U236" s="395"/>
    </row>
    <row r="237" spans="1:30" ht="15" customHeight="1">
      <c r="A237" s="320"/>
      <c r="B237" s="255"/>
      <c r="C237" s="255"/>
      <c r="D237" s="320"/>
      <c r="E237" s="255"/>
      <c r="F237" s="325"/>
      <c r="G237" s="325"/>
      <c r="H237" s="325"/>
      <c r="I237" s="325"/>
      <c r="J237" s="325"/>
      <c r="K237" s="325"/>
      <c r="L237" s="288"/>
      <c r="M237" s="288"/>
      <c r="N237" s="215"/>
      <c r="O237" s="215"/>
      <c r="P237" s="216"/>
      <c r="Q237" s="216"/>
      <c r="R237" s="216"/>
      <c r="S237" s="216"/>
      <c r="T237" s="216"/>
    </row>
    <row r="238" spans="1:30" ht="24" customHeight="1">
      <c r="A238" s="326" t="s">
        <v>669</v>
      </c>
      <c r="B238" s="255"/>
      <c r="C238" s="255"/>
      <c r="D238" s="320"/>
      <c r="E238" s="255"/>
      <c r="F238" s="255"/>
      <c r="G238" s="255"/>
      <c r="H238" s="255"/>
      <c r="I238" s="255"/>
      <c r="J238" s="255"/>
      <c r="K238" s="255"/>
      <c r="L238" s="265"/>
      <c r="M238" s="265"/>
      <c r="N238" s="195"/>
      <c r="O238" s="195"/>
      <c r="P238" s="192"/>
      <c r="Q238" s="192"/>
      <c r="R238" s="192"/>
      <c r="S238" s="192"/>
      <c r="T238" s="192"/>
    </row>
    <row r="239" spans="1:30" ht="24" customHeight="1">
      <c r="A239" s="320" t="s">
        <v>254</v>
      </c>
      <c r="B239" s="321"/>
      <c r="C239" s="321"/>
      <c r="D239" s="320" t="s">
        <v>255</v>
      </c>
      <c r="E239" s="321"/>
      <c r="F239" s="321"/>
      <c r="G239" s="321"/>
      <c r="H239" s="321"/>
      <c r="I239" s="321"/>
      <c r="J239" s="321"/>
      <c r="K239" s="321"/>
      <c r="L239" s="264">
        <v>100</v>
      </c>
      <c r="M239" s="264">
        <v>600</v>
      </c>
      <c r="N239" s="189">
        <v>500</v>
      </c>
      <c r="O239" s="189">
        <v>500</v>
      </c>
      <c r="P239" s="188">
        <f t="shared" ref="P239:S239" si="52">P45</f>
        <v>500</v>
      </c>
      <c r="Q239" s="188">
        <f t="shared" si="52"/>
        <v>500</v>
      </c>
      <c r="R239" s="188">
        <f t="shared" si="52"/>
        <v>500</v>
      </c>
      <c r="S239" s="188">
        <f t="shared" si="52"/>
        <v>500</v>
      </c>
      <c r="T239" s="188">
        <f>T45</f>
        <v>500</v>
      </c>
      <c r="V239" s="187"/>
    </row>
    <row r="240" spans="1:30" ht="24" customHeight="1">
      <c r="A240" s="320" t="s">
        <v>185</v>
      </c>
      <c r="B240" s="321"/>
      <c r="C240" s="321"/>
      <c r="D240" s="320" t="s">
        <v>186</v>
      </c>
      <c r="E240" s="607"/>
      <c r="F240" s="607"/>
      <c r="G240" s="607"/>
      <c r="H240" s="607"/>
      <c r="I240" s="607"/>
      <c r="J240" s="607"/>
      <c r="K240" s="607"/>
      <c r="L240" s="264">
        <v>7024</v>
      </c>
      <c r="M240" s="264">
        <v>5241</v>
      </c>
      <c r="N240" s="189">
        <v>30000</v>
      </c>
      <c r="O240" s="189">
        <v>6300</v>
      </c>
      <c r="P240" s="188">
        <v>20000</v>
      </c>
      <c r="Q240" s="188">
        <v>20000</v>
      </c>
      <c r="R240" s="188">
        <v>20000</v>
      </c>
      <c r="S240" s="188">
        <v>20000</v>
      </c>
      <c r="T240" s="188">
        <v>20000</v>
      </c>
    </row>
    <row r="241" spans="1:29" ht="24" customHeight="1">
      <c r="A241" s="320" t="s">
        <v>184</v>
      </c>
      <c r="B241" s="255"/>
      <c r="C241" s="255"/>
      <c r="D241" s="320" t="s">
        <v>245</v>
      </c>
      <c r="E241" s="418"/>
      <c r="F241" s="418"/>
      <c r="G241" s="418"/>
      <c r="H241" s="418"/>
      <c r="I241" s="418"/>
      <c r="J241" s="418"/>
      <c r="K241" s="320"/>
      <c r="L241" s="264">
        <v>213976</v>
      </c>
      <c r="M241" s="264">
        <v>246339</v>
      </c>
      <c r="N241" s="189">
        <v>265000</v>
      </c>
      <c r="O241" s="189">
        <v>250000</v>
      </c>
      <c r="P241" s="188">
        <f>ROUND(O241*1.06,0)</f>
        <v>265000</v>
      </c>
      <c r="Q241" s="188">
        <f>ROUND(P241*1.06,0)</f>
        <v>280900</v>
      </c>
      <c r="R241" s="188">
        <f>ROUND(Q241*1.06,0)</f>
        <v>297754</v>
      </c>
      <c r="S241" s="188">
        <f>ROUND(R241*1.06,0)</f>
        <v>315619</v>
      </c>
      <c r="T241" s="188">
        <f>ROUND(S241*1.06,0)</f>
        <v>334556</v>
      </c>
      <c r="V241" s="187"/>
    </row>
    <row r="242" spans="1:29" ht="24" customHeight="1">
      <c r="A242" s="320" t="s">
        <v>824</v>
      </c>
      <c r="B242" s="255"/>
      <c r="C242" s="255"/>
      <c r="D242" s="322" t="s">
        <v>827</v>
      </c>
      <c r="E242" s="255"/>
      <c r="F242" s="255"/>
      <c r="G242" s="255"/>
      <c r="H242" s="255"/>
      <c r="I242" s="255"/>
      <c r="J242" s="255"/>
      <c r="K242" s="255"/>
      <c r="L242" s="264">
        <f>88460+408</f>
        <v>88868</v>
      </c>
      <c r="M242" s="264">
        <v>35091</v>
      </c>
      <c r="N242" s="189">
        <v>47149</v>
      </c>
      <c r="O242" s="189">
        <v>47149</v>
      </c>
      <c r="P242" s="193">
        <v>37570</v>
      </c>
      <c r="Q242" s="193">
        <v>28965</v>
      </c>
      <c r="R242" s="193">
        <v>31282</v>
      </c>
      <c r="S242" s="193">
        <v>33785</v>
      </c>
      <c r="T242" s="193">
        <v>36488</v>
      </c>
      <c r="V242" s="487"/>
      <c r="W242" s="488"/>
      <c r="X242" s="488"/>
      <c r="Y242" s="488"/>
      <c r="AA242" s="187"/>
    </row>
    <row r="243" spans="1:29" ht="24" customHeight="1">
      <c r="A243" s="320" t="s">
        <v>825</v>
      </c>
      <c r="B243" s="255"/>
      <c r="C243" s="255"/>
      <c r="D243" s="322" t="s">
        <v>828</v>
      </c>
      <c r="E243" s="255"/>
      <c r="F243" s="255"/>
      <c r="G243" s="255"/>
      <c r="H243" s="255"/>
      <c r="I243" s="255"/>
      <c r="J243" s="255"/>
      <c r="K243" s="255"/>
      <c r="L243" s="264">
        <v>5025</v>
      </c>
      <c r="M243" s="264">
        <v>1061</v>
      </c>
      <c r="N243" s="189">
        <v>1333</v>
      </c>
      <c r="O243" s="189">
        <v>1333</v>
      </c>
      <c r="P243" s="193">
        <v>972</v>
      </c>
      <c r="Q243" s="193">
        <v>470</v>
      </c>
      <c r="R243" s="193">
        <v>494</v>
      </c>
      <c r="S243" s="193">
        <v>519</v>
      </c>
      <c r="T243" s="193">
        <v>545</v>
      </c>
      <c r="V243" s="487"/>
      <c r="W243" s="488"/>
      <c r="X243" s="488"/>
      <c r="Y243" s="487"/>
      <c r="AA243" s="187"/>
    </row>
    <row r="244" spans="1:29" ht="24" customHeight="1">
      <c r="A244" s="320" t="s">
        <v>826</v>
      </c>
      <c r="B244" s="255"/>
      <c r="C244" s="255"/>
      <c r="D244" s="322" t="s">
        <v>829</v>
      </c>
      <c r="E244" s="255"/>
      <c r="F244" s="255"/>
      <c r="G244" s="255"/>
      <c r="H244" s="255"/>
      <c r="I244" s="255"/>
      <c r="J244" s="255"/>
      <c r="K244" s="255"/>
      <c r="L244" s="264">
        <v>578</v>
      </c>
      <c r="M244" s="264">
        <v>160</v>
      </c>
      <c r="N244" s="189">
        <v>165</v>
      </c>
      <c r="O244" s="189">
        <v>165</v>
      </c>
      <c r="P244" s="193">
        <v>120</v>
      </c>
      <c r="Q244" s="193">
        <v>59</v>
      </c>
      <c r="R244" s="193">
        <v>61</v>
      </c>
      <c r="S244" s="193">
        <v>63</v>
      </c>
      <c r="T244" s="193">
        <v>65</v>
      </c>
      <c r="V244" s="487"/>
      <c r="W244" s="488"/>
      <c r="X244" s="487"/>
      <c r="Y244" s="488"/>
      <c r="AA244" s="187"/>
    </row>
    <row r="245" spans="1:29" ht="24" customHeight="1">
      <c r="A245" s="320" t="s">
        <v>1417</v>
      </c>
      <c r="B245" s="582"/>
      <c r="C245" s="582"/>
      <c r="D245" s="322" t="s">
        <v>1418</v>
      </c>
      <c r="E245" s="603"/>
      <c r="F245" s="603"/>
      <c r="G245" s="603"/>
      <c r="H245" s="603"/>
      <c r="I245" s="603"/>
      <c r="J245" s="603"/>
      <c r="K245" s="603"/>
      <c r="L245" s="265">
        <v>0</v>
      </c>
      <c r="M245" s="265">
        <v>0</v>
      </c>
      <c r="N245" s="195">
        <v>0</v>
      </c>
      <c r="O245" s="195">
        <f>ROUND((13250*(7/12))+(1125*(7/12)),0)</f>
        <v>8385</v>
      </c>
      <c r="P245" s="193">
        <v>14375</v>
      </c>
      <c r="Q245" s="193">
        <v>14375</v>
      </c>
      <c r="R245" s="193">
        <v>14375</v>
      </c>
      <c r="S245" s="193">
        <v>14375</v>
      </c>
      <c r="T245" s="192">
        <v>5990</v>
      </c>
      <c r="V245" s="187"/>
      <c r="Y245" s="187"/>
      <c r="AA245" s="187"/>
    </row>
    <row r="246" spans="1:29" ht="24" customHeight="1">
      <c r="A246" s="320" t="s">
        <v>1342</v>
      </c>
      <c r="B246" s="521"/>
      <c r="C246" s="521"/>
      <c r="D246" s="322" t="s">
        <v>1343</v>
      </c>
      <c r="E246" s="521"/>
      <c r="F246" s="521"/>
      <c r="G246" s="521"/>
      <c r="H246" s="521"/>
      <c r="I246" s="521"/>
      <c r="J246" s="521"/>
      <c r="K246" s="521"/>
      <c r="L246" s="265">
        <v>0</v>
      </c>
      <c r="M246" s="265">
        <v>42787</v>
      </c>
      <c r="N246" s="195">
        <v>0</v>
      </c>
      <c r="O246" s="195">
        <v>0</v>
      </c>
      <c r="P246" s="193">
        <v>0</v>
      </c>
      <c r="Q246" s="193">
        <v>0</v>
      </c>
      <c r="R246" s="193">
        <v>0</v>
      </c>
      <c r="S246" s="193">
        <v>0</v>
      </c>
      <c r="T246" s="193">
        <v>0</v>
      </c>
      <c r="V246" s="487"/>
      <c r="W246" s="488"/>
      <c r="X246" s="703"/>
      <c r="Y246" s="187"/>
      <c r="AA246" s="187"/>
    </row>
    <row r="247" spans="1:29" ht="24" customHeight="1">
      <c r="A247" s="320" t="s">
        <v>1108</v>
      </c>
      <c r="B247" s="255"/>
      <c r="C247" s="255"/>
      <c r="D247" s="320" t="s">
        <v>1109</v>
      </c>
      <c r="E247" s="255"/>
      <c r="F247" s="255"/>
      <c r="G247" s="255"/>
      <c r="H247" s="255"/>
      <c r="I247" s="255"/>
      <c r="J247" s="255"/>
      <c r="K247" s="320"/>
      <c r="L247" s="265">
        <v>0</v>
      </c>
      <c r="M247" s="265">
        <v>22130</v>
      </c>
      <c r="N247" s="195">
        <v>50000</v>
      </c>
      <c r="O247" s="195">
        <v>50000</v>
      </c>
      <c r="P247" s="188">
        <v>50000</v>
      </c>
      <c r="Q247" s="188">
        <v>50000</v>
      </c>
      <c r="R247" s="188">
        <v>25000</v>
      </c>
      <c r="S247" s="188">
        <v>25000</v>
      </c>
      <c r="T247" s="188">
        <v>25000</v>
      </c>
      <c r="V247" s="226"/>
      <c r="Y247" s="187"/>
      <c r="AA247" s="187"/>
    </row>
    <row r="248" spans="1:29" ht="24" customHeight="1">
      <c r="A248" s="320" t="s">
        <v>732</v>
      </c>
      <c r="B248" s="255"/>
      <c r="C248" s="255"/>
      <c r="D248" s="320" t="s">
        <v>731</v>
      </c>
      <c r="E248" s="552"/>
      <c r="F248" s="552"/>
      <c r="G248" s="552"/>
      <c r="H248" s="552"/>
      <c r="I248" s="552"/>
      <c r="J248" s="552"/>
      <c r="K248" s="320"/>
      <c r="L248" s="265">
        <v>22000</v>
      </c>
      <c r="M248" s="265">
        <v>25295</v>
      </c>
      <c r="N248" s="195">
        <v>150000</v>
      </c>
      <c r="O248" s="189">
        <v>73000</v>
      </c>
      <c r="P248" s="188">
        <v>100000</v>
      </c>
      <c r="Q248" s="188">
        <v>110000</v>
      </c>
      <c r="R248" s="188">
        <v>121000</v>
      </c>
      <c r="S248" s="188">
        <v>133100</v>
      </c>
      <c r="T248" s="188">
        <v>146410</v>
      </c>
      <c r="V248" s="187"/>
    </row>
    <row r="249" spans="1:29" ht="24" customHeight="1">
      <c r="A249" s="320" t="s">
        <v>739</v>
      </c>
      <c r="B249" s="323"/>
      <c r="C249" s="323"/>
      <c r="D249" s="322" t="s">
        <v>740</v>
      </c>
      <c r="E249" s="323"/>
      <c r="F249" s="323"/>
      <c r="G249" s="323"/>
      <c r="H249" s="323"/>
      <c r="I249" s="323"/>
      <c r="J249" s="323"/>
      <c r="K249" s="323"/>
      <c r="L249" s="264">
        <v>86654</v>
      </c>
      <c r="M249" s="264">
        <v>38867</v>
      </c>
      <c r="N249" s="189">
        <v>174500</v>
      </c>
      <c r="O249" s="189">
        <v>174500</v>
      </c>
      <c r="P249" s="188">
        <f>ROUND(94500*1.05,0)</f>
        <v>99225</v>
      </c>
      <c r="Q249" s="188">
        <f>ROUND(P249*1.05,0)</f>
        <v>104186</v>
      </c>
      <c r="R249" s="188">
        <f t="shared" ref="R249:T249" si="53">ROUND(Q249*1.05,0)</f>
        <v>109395</v>
      </c>
      <c r="S249" s="188">
        <f t="shared" si="53"/>
        <v>114865</v>
      </c>
      <c r="T249" s="188">
        <f t="shared" si="53"/>
        <v>120608</v>
      </c>
      <c r="V249" s="226"/>
      <c r="X249" s="764"/>
      <c r="Y249" s="764"/>
      <c r="Z249" s="764"/>
      <c r="AA249" s="764"/>
      <c r="AB249" s="764"/>
    </row>
    <row r="250" spans="1:29" ht="24" customHeight="1">
      <c r="A250" s="320" t="s">
        <v>219</v>
      </c>
      <c r="B250" s="323"/>
      <c r="C250" s="323"/>
      <c r="D250" s="320" t="s">
        <v>199</v>
      </c>
      <c r="E250" s="323"/>
      <c r="F250" s="323"/>
      <c r="G250" s="323"/>
      <c r="H250" s="323"/>
      <c r="I250" s="323"/>
      <c r="J250" s="323"/>
      <c r="K250" s="323"/>
      <c r="L250" s="264">
        <v>81042</v>
      </c>
      <c r="M250" s="264">
        <v>89253</v>
      </c>
      <c r="N250" s="189">
        <v>115500</v>
      </c>
      <c r="O250" s="189">
        <v>115500</v>
      </c>
      <c r="P250" s="188">
        <f>ROUND(O250*1.05,0)</f>
        <v>121275</v>
      </c>
      <c r="Q250" s="188">
        <f t="shared" ref="Q250:T250" si="54">ROUND(P250*1.05,0)</f>
        <v>127339</v>
      </c>
      <c r="R250" s="188">
        <f t="shared" si="54"/>
        <v>133706</v>
      </c>
      <c r="S250" s="188">
        <f t="shared" si="54"/>
        <v>140391</v>
      </c>
      <c r="T250" s="188">
        <f t="shared" si="54"/>
        <v>147411</v>
      </c>
      <c r="V250" s="226"/>
    </row>
    <row r="251" spans="1:29" ht="24" customHeight="1">
      <c r="A251" s="320" t="s">
        <v>194</v>
      </c>
      <c r="B251" s="323"/>
      <c r="C251" s="323"/>
      <c r="D251" s="320" t="s">
        <v>198</v>
      </c>
      <c r="E251" s="323"/>
      <c r="F251" s="323"/>
      <c r="G251" s="323"/>
      <c r="H251" s="323"/>
      <c r="I251" s="323"/>
      <c r="J251" s="323"/>
      <c r="K251" s="323"/>
      <c r="L251" s="264">
        <v>44826</v>
      </c>
      <c r="M251" s="264">
        <v>147253</v>
      </c>
      <c r="N251" s="189">
        <v>60000</v>
      </c>
      <c r="O251" s="189">
        <v>60000</v>
      </c>
      <c r="P251" s="188">
        <v>120000</v>
      </c>
      <c r="Q251" s="188">
        <v>120000</v>
      </c>
      <c r="R251" s="188">
        <v>120000</v>
      </c>
      <c r="S251" s="188">
        <v>120000</v>
      </c>
      <c r="T251" s="188">
        <v>120000</v>
      </c>
      <c r="V251" s="187"/>
      <c r="X251" s="524"/>
      <c r="Y251" s="524"/>
      <c r="Z251" s="524"/>
      <c r="AA251" s="524"/>
      <c r="AB251" s="524"/>
      <c r="AC251" s="673"/>
    </row>
    <row r="252" spans="1:29" ht="24" customHeight="1">
      <c r="A252" s="320" t="s">
        <v>763</v>
      </c>
      <c r="B252" s="323"/>
      <c r="C252" s="323"/>
      <c r="D252" s="320" t="s">
        <v>10</v>
      </c>
      <c r="E252" s="323"/>
      <c r="F252" s="323"/>
      <c r="G252" s="323"/>
      <c r="H252" s="323"/>
      <c r="I252" s="323"/>
      <c r="J252" s="323"/>
      <c r="K252" s="323"/>
      <c r="L252" s="285">
        <v>451</v>
      </c>
      <c r="M252" s="285">
        <v>0</v>
      </c>
      <c r="N252" s="189">
        <v>0</v>
      </c>
      <c r="O252" s="189">
        <v>0</v>
      </c>
      <c r="P252" s="188">
        <v>0</v>
      </c>
      <c r="Q252" s="188">
        <v>0</v>
      </c>
      <c r="R252" s="188">
        <v>0</v>
      </c>
      <c r="S252" s="188">
        <v>0</v>
      </c>
      <c r="T252" s="188">
        <v>0</v>
      </c>
      <c r="V252" s="187"/>
      <c r="X252" s="222"/>
      <c r="Y252" s="222"/>
      <c r="Z252" s="222"/>
      <c r="AA252" s="222"/>
      <c r="AB252" s="222"/>
      <c r="AC252" s="222"/>
    </row>
    <row r="253" spans="1:29" ht="24" customHeight="1">
      <c r="A253" s="320" t="s">
        <v>193</v>
      </c>
      <c r="B253" s="323"/>
      <c r="C253" s="323"/>
      <c r="D253" s="320" t="s">
        <v>197</v>
      </c>
      <c r="E253" s="323"/>
      <c r="F253" s="323"/>
      <c r="G253" s="323"/>
      <c r="H253" s="323"/>
      <c r="I253" s="323"/>
      <c r="J253" s="323"/>
      <c r="K253" s="323"/>
      <c r="L253" s="264">
        <v>2771</v>
      </c>
      <c r="M253" s="264">
        <v>2872</v>
      </c>
      <c r="N253" s="189">
        <v>25000</v>
      </c>
      <c r="O253" s="189">
        <v>25000</v>
      </c>
      <c r="P253" s="188">
        <v>25000</v>
      </c>
      <c r="Q253" s="188">
        <v>25000</v>
      </c>
      <c r="R253" s="188">
        <v>25000</v>
      </c>
      <c r="S253" s="188">
        <v>25000</v>
      </c>
      <c r="T253" s="188">
        <v>25000</v>
      </c>
      <c r="V253" s="187"/>
      <c r="X253" s="203"/>
      <c r="Y253" s="203"/>
      <c r="Z253" s="203"/>
      <c r="AA253" s="203"/>
      <c r="AB253" s="203"/>
      <c r="AC253" s="203"/>
    </row>
    <row r="254" spans="1:29" ht="24" customHeight="1">
      <c r="A254" s="320" t="s">
        <v>273</v>
      </c>
      <c r="B254" s="323"/>
      <c r="C254" s="323"/>
      <c r="D254" s="320" t="s">
        <v>274</v>
      </c>
      <c r="E254" s="323"/>
      <c r="F254" s="323"/>
      <c r="G254" s="323"/>
      <c r="H254" s="323"/>
      <c r="I254" s="323"/>
      <c r="J254" s="323"/>
      <c r="K254" s="323"/>
      <c r="L254" s="265">
        <v>406630</v>
      </c>
      <c r="M254" s="265">
        <v>597697</v>
      </c>
      <c r="N254" s="195">
        <v>290000</v>
      </c>
      <c r="O254" s="195">
        <v>290000</v>
      </c>
      <c r="P254" s="192">
        <f>240000+175000+50000</f>
        <v>465000</v>
      </c>
      <c r="Q254" s="192">
        <f t="shared" ref="Q254:T254" si="55">240000+175000+50000</f>
        <v>465000</v>
      </c>
      <c r="R254" s="192">
        <f t="shared" si="55"/>
        <v>465000</v>
      </c>
      <c r="S254" s="192">
        <f t="shared" si="55"/>
        <v>465000</v>
      </c>
      <c r="T254" s="192">
        <f t="shared" si="55"/>
        <v>465000</v>
      </c>
      <c r="V254" s="187"/>
    </row>
    <row r="255" spans="1:29" ht="24" customHeight="1">
      <c r="A255" s="320" t="s">
        <v>192</v>
      </c>
      <c r="B255" s="323"/>
      <c r="C255" s="323"/>
      <c r="D255" s="320" t="s">
        <v>196</v>
      </c>
      <c r="E255" s="323"/>
      <c r="F255" s="323"/>
      <c r="G255" s="323"/>
      <c r="H255" s="323"/>
      <c r="I255" s="323"/>
      <c r="J255" s="323"/>
      <c r="K255" s="323"/>
      <c r="L255" s="264">
        <v>70613</v>
      </c>
      <c r="M255" s="264">
        <v>76508</v>
      </c>
      <c r="N255" s="189">
        <v>85000</v>
      </c>
      <c r="O255" s="189">
        <v>85000</v>
      </c>
      <c r="P255" s="188">
        <v>85000</v>
      </c>
      <c r="Q255" s="188">
        <v>85000</v>
      </c>
      <c r="R255" s="188">
        <v>85000</v>
      </c>
      <c r="S255" s="188">
        <v>85000</v>
      </c>
      <c r="T255" s="188">
        <v>85000</v>
      </c>
    </row>
    <row r="256" spans="1:29" ht="24" customHeight="1">
      <c r="A256" s="320" t="s">
        <v>220</v>
      </c>
      <c r="B256" s="323"/>
      <c r="C256" s="323"/>
      <c r="D256" s="320" t="s">
        <v>777</v>
      </c>
      <c r="E256" s="323"/>
      <c r="F256" s="323"/>
      <c r="G256" s="323"/>
      <c r="H256" s="323"/>
      <c r="I256" s="323"/>
      <c r="J256" s="323"/>
      <c r="K256" s="323"/>
      <c r="L256" s="264">
        <v>48473</v>
      </c>
      <c r="M256" s="264">
        <v>59045</v>
      </c>
      <c r="N256" s="189">
        <v>54000</v>
      </c>
      <c r="O256" s="189">
        <v>54000</v>
      </c>
      <c r="P256" s="188">
        <f t="shared" ref="P256:S256" si="56">ROUND(P18*0.9,0)</f>
        <v>63000</v>
      </c>
      <c r="Q256" s="188">
        <f t="shared" si="56"/>
        <v>63000</v>
      </c>
      <c r="R256" s="188">
        <f t="shared" si="56"/>
        <v>63000</v>
      </c>
      <c r="S256" s="188">
        <f t="shared" si="56"/>
        <v>63000</v>
      </c>
      <c r="T256" s="188">
        <f>ROUND(T18*0.9,0)</f>
        <v>63000</v>
      </c>
      <c r="V256" s="187"/>
    </row>
    <row r="257" spans="1:29" ht="24" customHeight="1">
      <c r="A257" s="320" t="s">
        <v>1460</v>
      </c>
      <c r="B257" s="323"/>
      <c r="C257" s="323"/>
      <c r="D257" s="320" t="s">
        <v>1461</v>
      </c>
      <c r="E257" s="323"/>
      <c r="F257" s="323"/>
      <c r="G257" s="323"/>
      <c r="H257" s="323"/>
      <c r="I257" s="323"/>
      <c r="J257" s="323"/>
      <c r="K257" s="323"/>
      <c r="L257" s="265">
        <v>0</v>
      </c>
      <c r="M257" s="265">
        <v>0</v>
      </c>
      <c r="N257" s="195">
        <v>0</v>
      </c>
      <c r="O257" s="195">
        <f>69382-1209</f>
        <v>68173</v>
      </c>
      <c r="P257" s="192">
        <v>0</v>
      </c>
      <c r="Q257" s="192">
        <v>0</v>
      </c>
      <c r="R257" s="192">
        <v>0</v>
      </c>
      <c r="S257" s="192">
        <v>0</v>
      </c>
      <c r="T257" s="192">
        <v>0</v>
      </c>
      <c r="V257" s="187"/>
    </row>
    <row r="258" spans="1:29" ht="24" customHeight="1">
      <c r="A258" s="320" t="s">
        <v>191</v>
      </c>
      <c r="B258" s="323"/>
      <c r="C258" s="323"/>
      <c r="D258" s="320" t="s">
        <v>264</v>
      </c>
      <c r="E258" s="323"/>
      <c r="F258" s="323"/>
      <c r="G258" s="323"/>
      <c r="H258" s="323"/>
      <c r="I258" s="323"/>
      <c r="J258" s="323"/>
      <c r="K258" s="323"/>
      <c r="L258" s="262">
        <v>1196</v>
      </c>
      <c r="M258" s="262">
        <v>1369</v>
      </c>
      <c r="N258" s="186">
        <v>1500</v>
      </c>
      <c r="O258" s="186">
        <v>1293</v>
      </c>
      <c r="P258" s="185">
        <v>1500</v>
      </c>
      <c r="Q258" s="185">
        <v>1500</v>
      </c>
      <c r="R258" s="185">
        <v>1500</v>
      </c>
      <c r="S258" s="185">
        <v>1500</v>
      </c>
      <c r="T258" s="185">
        <v>1500</v>
      </c>
    </row>
    <row r="259" spans="1:29" ht="24" customHeight="1">
      <c r="A259" s="320" t="s">
        <v>190</v>
      </c>
      <c r="B259" s="323"/>
      <c r="C259" s="323"/>
      <c r="D259" s="320" t="s">
        <v>195</v>
      </c>
      <c r="E259" s="323"/>
      <c r="F259" s="323"/>
      <c r="G259" s="323"/>
      <c r="H259" s="323"/>
      <c r="I259" s="323"/>
      <c r="J259" s="323"/>
      <c r="K259" s="323"/>
      <c r="L259" s="262">
        <v>745572</v>
      </c>
      <c r="M259" s="262">
        <v>861234</v>
      </c>
      <c r="N259" s="189">
        <v>858500</v>
      </c>
      <c r="O259" s="189">
        <f>ROUND(M259*1.02,0)</f>
        <v>878459</v>
      </c>
      <c r="P259" s="188">
        <f>ROUND(O259*1.02,0)</f>
        <v>896028</v>
      </c>
      <c r="Q259" s="188">
        <f t="shared" ref="Q259:T259" si="57">ROUND(P259*1.02,0)</f>
        <v>913949</v>
      </c>
      <c r="R259" s="188">
        <f t="shared" si="57"/>
        <v>932228</v>
      </c>
      <c r="S259" s="188">
        <f t="shared" si="57"/>
        <v>950873</v>
      </c>
      <c r="T259" s="188">
        <f t="shared" si="57"/>
        <v>969890</v>
      </c>
      <c r="V259" s="187"/>
    </row>
    <row r="260" spans="1:29" ht="24" customHeight="1">
      <c r="A260" s="320" t="s">
        <v>189</v>
      </c>
      <c r="B260" s="323"/>
      <c r="C260" s="323"/>
      <c r="D260" s="320" t="s">
        <v>1132</v>
      </c>
      <c r="E260" s="323"/>
      <c r="F260" s="323"/>
      <c r="G260" s="323"/>
      <c r="H260" s="323"/>
      <c r="I260" s="323"/>
      <c r="J260" s="323"/>
      <c r="K260" s="323"/>
      <c r="L260" s="262">
        <v>314385</v>
      </c>
      <c r="M260" s="262">
        <v>325724</v>
      </c>
      <c r="N260" s="186">
        <v>317529</v>
      </c>
      <c r="O260" s="186">
        <f>O22+O23+O24</f>
        <v>380000</v>
      </c>
      <c r="P260" s="185">
        <f t="shared" ref="P260:T260" si="58">P22+P23+P24</f>
        <v>386800</v>
      </c>
      <c r="Q260" s="185">
        <f t="shared" si="58"/>
        <v>393736</v>
      </c>
      <c r="R260" s="185">
        <f t="shared" si="58"/>
        <v>400811</v>
      </c>
      <c r="S260" s="185">
        <f t="shared" si="58"/>
        <v>408027</v>
      </c>
      <c r="T260" s="185">
        <f t="shared" si="58"/>
        <v>415388</v>
      </c>
      <c r="V260" s="190"/>
    </row>
    <row r="261" spans="1:29" ht="24" customHeight="1">
      <c r="A261" s="320" t="s">
        <v>188</v>
      </c>
      <c r="B261" s="323"/>
      <c r="C261" s="323"/>
      <c r="D261" s="320" t="s">
        <v>256</v>
      </c>
      <c r="E261" s="323"/>
      <c r="F261" s="323"/>
      <c r="G261" s="323"/>
      <c r="H261" s="323"/>
      <c r="I261" s="323"/>
      <c r="J261" s="323"/>
      <c r="K261" s="323"/>
      <c r="L261" s="264">
        <v>119199</v>
      </c>
      <c r="M261" s="264">
        <v>103720</v>
      </c>
      <c r="N261" s="189">
        <v>105000</v>
      </c>
      <c r="O261" s="189">
        <f>O21</f>
        <v>104066</v>
      </c>
      <c r="P261" s="188">
        <f t="shared" ref="P261:S261" si="59">P21</f>
        <v>105000</v>
      </c>
      <c r="Q261" s="188">
        <f t="shared" si="59"/>
        <v>105000</v>
      </c>
      <c r="R261" s="188">
        <f t="shared" si="59"/>
        <v>105000</v>
      </c>
      <c r="S261" s="188">
        <f t="shared" si="59"/>
        <v>105000</v>
      </c>
      <c r="T261" s="188">
        <f>T21</f>
        <v>105000</v>
      </c>
      <c r="V261" s="187"/>
    </row>
    <row r="262" spans="1:29" ht="24" customHeight="1">
      <c r="A262" s="320" t="s">
        <v>200</v>
      </c>
      <c r="B262" s="255"/>
      <c r="C262" s="255"/>
      <c r="D262" s="320" t="s">
        <v>18</v>
      </c>
      <c r="E262" s="255"/>
      <c r="F262" s="255"/>
      <c r="G262" s="255"/>
      <c r="H262" s="255"/>
      <c r="I262" s="255"/>
      <c r="J262" s="255"/>
      <c r="K262" s="255"/>
      <c r="L262" s="264">
        <v>3248</v>
      </c>
      <c r="M262" s="264">
        <v>1516</v>
      </c>
      <c r="N262" s="189">
        <v>5000</v>
      </c>
      <c r="O262" s="189">
        <v>2500</v>
      </c>
      <c r="P262" s="188">
        <v>2500</v>
      </c>
      <c r="Q262" s="188">
        <v>2500</v>
      </c>
      <c r="R262" s="188">
        <v>2500</v>
      </c>
      <c r="S262" s="188">
        <v>2500</v>
      </c>
      <c r="T262" s="188">
        <v>2500</v>
      </c>
    </row>
    <row r="263" spans="1:29" ht="24" customHeight="1">
      <c r="A263" s="320" t="s">
        <v>266</v>
      </c>
      <c r="B263" s="323"/>
      <c r="C263" s="323"/>
      <c r="D263" s="320" t="s">
        <v>267</v>
      </c>
      <c r="E263" s="255"/>
      <c r="F263" s="323"/>
      <c r="G263" s="323"/>
      <c r="H263" s="323"/>
      <c r="I263" s="323"/>
      <c r="J263" s="323"/>
      <c r="K263" s="323"/>
      <c r="L263" s="264">
        <v>25649</v>
      </c>
      <c r="M263" s="264">
        <v>1711</v>
      </c>
      <c r="N263" s="189">
        <v>5000</v>
      </c>
      <c r="O263" s="189">
        <v>5000</v>
      </c>
      <c r="P263" s="188">
        <f>P52</f>
        <v>5000</v>
      </c>
      <c r="Q263" s="188">
        <f>Q52</f>
        <v>5000</v>
      </c>
      <c r="R263" s="188">
        <f>R52</f>
        <v>5000</v>
      </c>
      <c r="S263" s="188">
        <f>S52</f>
        <v>5000</v>
      </c>
      <c r="T263" s="188">
        <f>T52</f>
        <v>5000</v>
      </c>
      <c r="V263" s="198"/>
    </row>
    <row r="264" spans="1:29" ht="24" customHeight="1">
      <c r="A264" s="320" t="s">
        <v>201</v>
      </c>
      <c r="B264" s="255"/>
      <c r="C264" s="255"/>
      <c r="D264" s="320" t="s">
        <v>100</v>
      </c>
      <c r="E264" s="255"/>
      <c r="F264" s="255"/>
      <c r="G264" s="255"/>
      <c r="H264" s="255"/>
      <c r="I264" s="255"/>
      <c r="J264" s="255"/>
      <c r="K264" s="255"/>
      <c r="L264" s="264">
        <v>0</v>
      </c>
      <c r="M264" s="264">
        <v>11676</v>
      </c>
      <c r="N264" s="189">
        <v>0</v>
      </c>
      <c r="O264" s="189">
        <v>0</v>
      </c>
      <c r="P264" s="188">
        <v>0</v>
      </c>
      <c r="Q264" s="188">
        <v>0</v>
      </c>
      <c r="R264" s="188">
        <v>0</v>
      </c>
      <c r="S264" s="188">
        <v>0</v>
      </c>
      <c r="T264" s="188">
        <v>0</v>
      </c>
      <c r="V264" s="187"/>
    </row>
    <row r="265" spans="1:29" ht="24" customHeight="1">
      <c r="A265" s="320" t="s">
        <v>1333</v>
      </c>
      <c r="B265" s="255"/>
      <c r="C265" s="255"/>
      <c r="D265" s="320" t="s">
        <v>1015</v>
      </c>
      <c r="E265" s="418"/>
      <c r="F265" s="418"/>
      <c r="G265" s="418"/>
      <c r="H265" s="418"/>
      <c r="I265" s="418"/>
      <c r="J265" s="418"/>
      <c r="K265" s="418"/>
      <c r="L265" s="266">
        <v>0</v>
      </c>
      <c r="M265" s="266">
        <v>571615</v>
      </c>
      <c r="N265" s="194">
        <v>0</v>
      </c>
      <c r="O265" s="194">
        <v>0</v>
      </c>
      <c r="P265" s="193">
        <v>0</v>
      </c>
      <c r="Q265" s="193">
        <v>0</v>
      </c>
      <c r="R265" s="193">
        <v>0</v>
      </c>
      <c r="S265" s="193">
        <v>0</v>
      </c>
      <c r="T265" s="193">
        <v>0</v>
      </c>
      <c r="V265" s="187"/>
    </row>
    <row r="266" spans="1:29" ht="24" customHeight="1">
      <c r="A266" s="320" t="s">
        <v>1438</v>
      </c>
      <c r="B266" s="646"/>
      <c r="C266" s="646"/>
      <c r="D266" s="320" t="s">
        <v>1439</v>
      </c>
      <c r="E266" s="646"/>
      <c r="F266" s="646"/>
      <c r="G266" s="646"/>
      <c r="H266" s="646"/>
      <c r="I266" s="646"/>
      <c r="J266" s="646"/>
      <c r="K266" s="646"/>
      <c r="L266" s="266">
        <v>0</v>
      </c>
      <c r="M266" s="266">
        <v>0</v>
      </c>
      <c r="N266" s="194">
        <v>0</v>
      </c>
      <c r="O266" s="194">
        <v>324</v>
      </c>
      <c r="P266" s="193">
        <v>0</v>
      </c>
      <c r="Q266" s="193">
        <v>0</v>
      </c>
      <c r="R266" s="193">
        <v>0</v>
      </c>
      <c r="S266" s="193">
        <v>0</v>
      </c>
      <c r="T266" s="193">
        <v>0</v>
      </c>
      <c r="V266" s="187"/>
    </row>
    <row r="267" spans="1:29" ht="24" customHeight="1">
      <c r="A267" s="320" t="s">
        <v>1014</v>
      </c>
      <c r="B267" s="513"/>
      <c r="C267" s="513"/>
      <c r="D267" s="320" t="s">
        <v>1334</v>
      </c>
      <c r="E267" s="513"/>
      <c r="F267" s="513"/>
      <c r="G267" s="513"/>
      <c r="H267" s="513"/>
      <c r="I267" s="513"/>
      <c r="J267" s="513"/>
      <c r="K267" s="513"/>
      <c r="L267" s="266">
        <v>0</v>
      </c>
      <c r="M267" s="266">
        <v>0</v>
      </c>
      <c r="N267" s="194">
        <v>105000</v>
      </c>
      <c r="O267" s="194">
        <v>105000</v>
      </c>
      <c r="P267" s="193">
        <f>P394</f>
        <v>62000</v>
      </c>
      <c r="Q267" s="193">
        <f t="shared" ref="Q267:T267" si="60">Q394</f>
        <v>64500</v>
      </c>
      <c r="R267" s="193">
        <f t="shared" si="60"/>
        <v>64500</v>
      </c>
      <c r="S267" s="193">
        <f t="shared" si="60"/>
        <v>64500</v>
      </c>
      <c r="T267" s="193">
        <f t="shared" si="60"/>
        <v>64500</v>
      </c>
      <c r="V267" s="187"/>
    </row>
    <row r="268" spans="1:29" ht="24" customHeight="1">
      <c r="A268" s="320" t="s">
        <v>1332</v>
      </c>
      <c r="B268" s="255"/>
      <c r="C268" s="255"/>
      <c r="D268" s="320" t="s">
        <v>1376</v>
      </c>
      <c r="E268" s="430"/>
      <c r="F268" s="430"/>
      <c r="G268" s="430"/>
      <c r="H268" s="430"/>
      <c r="I268" s="430"/>
      <c r="J268" s="430"/>
      <c r="K268" s="430"/>
      <c r="L268" s="266">
        <v>419332</v>
      </c>
      <c r="M268" s="266">
        <v>270401</v>
      </c>
      <c r="N268" s="194">
        <v>0</v>
      </c>
      <c r="O268" s="194">
        <v>0</v>
      </c>
      <c r="P268" s="193">
        <f>P395</f>
        <v>0</v>
      </c>
      <c r="Q268" s="193">
        <f t="shared" ref="Q268:T268" si="61">Q395</f>
        <v>0</v>
      </c>
      <c r="R268" s="193">
        <f t="shared" si="61"/>
        <v>0</v>
      </c>
      <c r="S268" s="193">
        <f t="shared" si="61"/>
        <v>0</v>
      </c>
      <c r="T268" s="193">
        <f t="shared" si="61"/>
        <v>0</v>
      </c>
      <c r="V268" s="187"/>
      <c r="X268" s="764"/>
      <c r="Y268" s="764"/>
      <c r="Z268" s="764"/>
      <c r="AA268" s="764"/>
      <c r="AB268" s="764"/>
    </row>
    <row r="269" spans="1:29" ht="24" customHeight="1">
      <c r="A269" s="320" t="s">
        <v>206</v>
      </c>
      <c r="B269" s="321"/>
      <c r="C269" s="321"/>
      <c r="D269" s="320" t="s">
        <v>221</v>
      </c>
      <c r="E269" s="417"/>
      <c r="F269" s="417"/>
      <c r="G269" s="417"/>
      <c r="H269" s="417"/>
      <c r="I269" s="417"/>
      <c r="J269" s="417"/>
      <c r="K269" s="417"/>
      <c r="L269" s="265">
        <v>99465</v>
      </c>
      <c r="M269" s="265">
        <v>0</v>
      </c>
      <c r="N269" s="195">
        <v>0</v>
      </c>
      <c r="O269" s="195">
        <f t="shared" ref="O269:T269" si="62">O528</f>
        <v>0</v>
      </c>
      <c r="P269" s="192">
        <f t="shared" si="62"/>
        <v>132103</v>
      </c>
      <c r="Q269" s="192">
        <f t="shared" si="62"/>
        <v>294411</v>
      </c>
      <c r="R269" s="192">
        <f t="shared" si="62"/>
        <v>315775</v>
      </c>
      <c r="S269" s="192">
        <f t="shared" si="62"/>
        <v>320275</v>
      </c>
      <c r="T269" s="192">
        <f t="shared" si="62"/>
        <v>319575</v>
      </c>
      <c r="U269" s="397"/>
      <c r="V269" s="187"/>
    </row>
    <row r="270" spans="1:29" ht="24" customHeight="1">
      <c r="A270" s="320" t="s">
        <v>207</v>
      </c>
      <c r="B270" s="321"/>
      <c r="C270" s="321"/>
      <c r="D270" s="320" t="s">
        <v>223</v>
      </c>
      <c r="E270" s="417"/>
      <c r="F270" s="417"/>
      <c r="G270" s="417"/>
      <c r="H270" s="417"/>
      <c r="I270" s="417"/>
      <c r="J270" s="417"/>
      <c r="K270" s="417"/>
      <c r="L270" s="266">
        <v>0</v>
      </c>
      <c r="M270" s="266">
        <v>1137220</v>
      </c>
      <c r="N270" s="189">
        <v>1133972</v>
      </c>
      <c r="O270" s="189">
        <v>1133972</v>
      </c>
      <c r="P270" s="188">
        <f>P678</f>
        <v>1134654</v>
      </c>
      <c r="Q270" s="188">
        <f t="shared" ref="Q270:T270" si="63">Q678</f>
        <v>1134052</v>
      </c>
      <c r="R270" s="188">
        <f t="shared" si="63"/>
        <v>1137166</v>
      </c>
      <c r="S270" s="188">
        <f t="shared" si="63"/>
        <v>1133782</v>
      </c>
      <c r="T270" s="188">
        <f t="shared" si="63"/>
        <v>1134114</v>
      </c>
      <c r="V270" s="187"/>
      <c r="X270" s="524"/>
      <c r="Y270" s="524"/>
      <c r="Z270" s="524"/>
      <c r="AA270" s="524"/>
      <c r="AB270" s="524"/>
      <c r="AC270" s="673"/>
    </row>
    <row r="271" spans="1:29" ht="24" customHeight="1">
      <c r="A271" s="320" t="s">
        <v>208</v>
      </c>
      <c r="B271" s="321"/>
      <c r="C271" s="321"/>
      <c r="D271" s="320" t="s">
        <v>1012</v>
      </c>
      <c r="E271" s="431"/>
      <c r="F271" s="431"/>
      <c r="G271" s="431"/>
      <c r="H271" s="431"/>
      <c r="I271" s="431"/>
      <c r="J271" s="431"/>
      <c r="K271" s="431"/>
      <c r="L271" s="264">
        <v>955886</v>
      </c>
      <c r="M271" s="264">
        <v>1765504</v>
      </c>
      <c r="N271" s="189">
        <v>1277606</v>
      </c>
      <c r="O271" s="189">
        <v>1277606</v>
      </c>
      <c r="P271" s="188">
        <f>P801</f>
        <v>1076831</v>
      </c>
      <c r="Q271" s="188">
        <f t="shared" ref="Q271:R271" si="64">Q801</f>
        <v>1342684</v>
      </c>
      <c r="R271" s="188">
        <f t="shared" si="64"/>
        <v>1395093</v>
      </c>
      <c r="S271" s="188">
        <f>S801</f>
        <v>1460521</v>
      </c>
      <c r="T271" s="188">
        <f>T801</f>
        <v>1529934</v>
      </c>
      <c r="V271" s="187"/>
      <c r="X271" s="222"/>
      <c r="Y271" s="222"/>
      <c r="Z271" s="222"/>
      <c r="AA271" s="222"/>
      <c r="AB271" s="222"/>
      <c r="AC271" s="222"/>
    </row>
    <row r="272" spans="1:29" ht="24" customHeight="1">
      <c r="A272" s="320" t="s">
        <v>602</v>
      </c>
      <c r="B272" s="321"/>
      <c r="C272" s="321"/>
      <c r="D272" s="320" t="s">
        <v>603</v>
      </c>
      <c r="E272" s="432"/>
      <c r="F272" s="432"/>
      <c r="G272" s="432"/>
      <c r="H272" s="432"/>
      <c r="I272" s="432"/>
      <c r="J272" s="432"/>
      <c r="K272" s="432"/>
      <c r="L272" s="282">
        <v>26819</v>
      </c>
      <c r="M272" s="282">
        <v>45948</v>
      </c>
      <c r="N272" s="214">
        <v>32375</v>
      </c>
      <c r="O272" s="214">
        <v>32375</v>
      </c>
      <c r="P272" s="213">
        <f>P941</f>
        <v>34168</v>
      </c>
      <c r="Q272" s="213">
        <f>Q941</f>
        <v>35568</v>
      </c>
      <c r="R272" s="213">
        <f>R941</f>
        <v>37582</v>
      </c>
      <c r="S272" s="213">
        <f>S941</f>
        <v>39717</v>
      </c>
      <c r="T272" s="213">
        <f>T941</f>
        <v>41980</v>
      </c>
      <c r="V272" s="220"/>
      <c r="X272" s="203"/>
      <c r="Y272" s="203"/>
      <c r="Z272" s="203"/>
      <c r="AA272" s="203"/>
      <c r="AB272" s="203"/>
      <c r="AC272" s="203"/>
    </row>
    <row r="273" spans="1:27" s="255" customFormat="1" ht="24" customHeight="1">
      <c r="A273" s="320"/>
      <c r="B273" s="321"/>
      <c r="C273" s="321"/>
      <c r="D273" s="320"/>
      <c r="E273" s="321"/>
      <c r="F273" s="321"/>
      <c r="G273" s="321"/>
      <c r="H273" s="321"/>
      <c r="I273" s="321"/>
      <c r="J273" s="321"/>
      <c r="K273" s="321"/>
      <c r="L273" s="275">
        <f t="shared" ref="L273:T273" si="65">SUM(L239:L272)</f>
        <v>3789782</v>
      </c>
      <c r="M273" s="275">
        <f t="shared" si="65"/>
        <v>6487837</v>
      </c>
      <c r="N273" s="283">
        <f t="shared" si="65"/>
        <v>5189629</v>
      </c>
      <c r="O273" s="283">
        <f t="shared" si="65"/>
        <v>5229600</v>
      </c>
      <c r="P273" s="284">
        <f t="shared" si="65"/>
        <v>5303621</v>
      </c>
      <c r="Q273" s="284">
        <f t="shared" si="65"/>
        <v>5787694</v>
      </c>
      <c r="R273" s="284">
        <f t="shared" si="65"/>
        <v>5908722</v>
      </c>
      <c r="S273" s="284">
        <f t="shared" si="65"/>
        <v>6047912</v>
      </c>
      <c r="T273" s="284">
        <f t="shared" si="65"/>
        <v>6184954</v>
      </c>
      <c r="U273" s="542"/>
      <c r="W273" s="347"/>
      <c r="X273" s="347"/>
      <c r="Y273" s="347"/>
      <c r="Z273" s="347"/>
      <c r="AA273" s="347"/>
    </row>
    <row r="274" spans="1:27" s="255" customFormat="1" ht="15" customHeight="1">
      <c r="A274" s="320"/>
      <c r="B274" s="321"/>
      <c r="C274" s="321"/>
      <c r="D274" s="320"/>
      <c r="E274" s="321"/>
      <c r="F274" s="321"/>
      <c r="G274" s="321"/>
      <c r="H274" s="321"/>
      <c r="I274" s="321"/>
      <c r="J274" s="321"/>
      <c r="K274" s="321"/>
      <c r="L274" s="265"/>
      <c r="M274" s="265"/>
      <c r="N274" s="267"/>
      <c r="O274" s="267"/>
      <c r="P274" s="265"/>
      <c r="Q274" s="265"/>
      <c r="R274" s="265"/>
      <c r="S274" s="265"/>
      <c r="T274" s="265"/>
      <c r="U274" s="542"/>
    </row>
    <row r="275" spans="1:27" s="255" customFormat="1" ht="15" customHeight="1">
      <c r="L275" s="271"/>
      <c r="M275" s="271"/>
      <c r="N275" s="272"/>
      <c r="O275" s="272"/>
      <c r="P275" s="271"/>
      <c r="Q275" s="271"/>
      <c r="R275" s="271"/>
      <c r="S275" s="271"/>
      <c r="T275" s="271"/>
      <c r="U275" s="542"/>
    </row>
    <row r="276" spans="1:27" s="324" customFormat="1" ht="24" customHeight="1">
      <c r="K276" s="324" t="s">
        <v>598</v>
      </c>
      <c r="L276" s="273">
        <f t="shared" ref="L276:T276" si="66">L101+L122+L166+L195+L273+L236</f>
        <v>10361617</v>
      </c>
      <c r="M276" s="273">
        <f t="shared" si="66"/>
        <v>13808392</v>
      </c>
      <c r="N276" s="274">
        <f t="shared" si="66"/>
        <v>13570112</v>
      </c>
      <c r="O276" s="274">
        <f t="shared" si="66"/>
        <v>13677043</v>
      </c>
      <c r="P276" s="273">
        <f t="shared" si="66"/>
        <v>14190635</v>
      </c>
      <c r="Q276" s="273">
        <f t="shared" si="66"/>
        <v>14832629</v>
      </c>
      <c r="R276" s="273">
        <f t="shared" si="66"/>
        <v>15374024</v>
      </c>
      <c r="S276" s="273">
        <f t="shared" si="66"/>
        <v>15887773</v>
      </c>
      <c r="T276" s="273">
        <f t="shared" si="66"/>
        <v>16408034</v>
      </c>
      <c r="U276" s="542"/>
      <c r="W276" s="329"/>
      <c r="X276" s="329"/>
      <c r="Y276" s="329"/>
      <c r="Z276" s="329"/>
      <c r="AA276" s="329"/>
    </row>
    <row r="277" spans="1:27" s="324" customFormat="1" ht="15" customHeight="1">
      <c r="A277" s="327"/>
      <c r="L277" s="273"/>
      <c r="M277" s="273"/>
      <c r="N277" s="274"/>
      <c r="O277" s="274"/>
      <c r="P277" s="273"/>
      <c r="Q277" s="273"/>
      <c r="R277" s="273"/>
      <c r="S277" s="273"/>
      <c r="T277" s="273"/>
      <c r="U277" s="542"/>
    </row>
    <row r="278" spans="1:27" s="324" customFormat="1" ht="24" customHeight="1">
      <c r="A278" s="328"/>
      <c r="K278" s="324" t="s">
        <v>599</v>
      </c>
      <c r="L278" s="273">
        <f t="shared" ref="L278:T278" si="67">L62-L276</f>
        <v>2953193</v>
      </c>
      <c r="M278" s="273">
        <f t="shared" si="67"/>
        <v>-363247</v>
      </c>
      <c r="N278" s="274">
        <f t="shared" si="67"/>
        <v>156513</v>
      </c>
      <c r="O278" s="274">
        <f t="shared" si="67"/>
        <v>240024</v>
      </c>
      <c r="P278" s="273">
        <f t="shared" si="67"/>
        <v>10002</v>
      </c>
      <c r="Q278" s="273">
        <f t="shared" si="67"/>
        <v>-521902</v>
      </c>
      <c r="R278" s="273">
        <f t="shared" si="67"/>
        <v>-904844</v>
      </c>
      <c r="S278" s="273">
        <f t="shared" si="67"/>
        <v>-1255986</v>
      </c>
      <c r="T278" s="273">
        <f t="shared" si="67"/>
        <v>-1659171</v>
      </c>
      <c r="U278" s="542"/>
      <c r="W278" s="348"/>
      <c r="X278" s="348"/>
      <c r="Y278" s="348"/>
      <c r="Z278" s="348"/>
      <c r="AA278" s="348"/>
    </row>
    <row r="279" spans="1:27" s="324" customFormat="1" ht="15" customHeight="1">
      <c r="A279" s="328"/>
      <c r="L279" s="273"/>
      <c r="M279" s="273"/>
      <c r="N279" s="274"/>
      <c r="O279" s="274"/>
      <c r="P279" s="273"/>
      <c r="Q279" s="273"/>
      <c r="R279" s="273"/>
      <c r="S279" s="273"/>
      <c r="T279" s="273"/>
      <c r="U279" s="542"/>
    </row>
    <row r="280" spans="1:27" s="329" customFormat="1" ht="24" customHeight="1">
      <c r="K280" s="329" t="s">
        <v>601</v>
      </c>
      <c r="L280" s="290">
        <v>4223820</v>
      </c>
      <c r="M280" s="290">
        <v>3860581</v>
      </c>
      <c r="N280" s="291">
        <v>3874053</v>
      </c>
      <c r="O280" s="291">
        <f>M280+O278</f>
        <v>4100605</v>
      </c>
      <c r="P280" s="290">
        <f>O280+P278</f>
        <v>4110607</v>
      </c>
      <c r="Q280" s="290">
        <f>P280+Q278</f>
        <v>3588705</v>
      </c>
      <c r="R280" s="290">
        <f>Q280+R278</f>
        <v>2683861</v>
      </c>
      <c r="S280" s="290">
        <f>R280+S278</f>
        <v>1427875</v>
      </c>
      <c r="T280" s="290">
        <f>S280+T278</f>
        <v>-231296</v>
      </c>
      <c r="U280" s="398"/>
    </row>
    <row r="281" spans="1:27" s="330" customFormat="1" ht="24" customHeight="1">
      <c r="L281" s="292">
        <f t="shared" ref="L281" si="68">L280/L276</f>
        <v>0.40764100815538734</v>
      </c>
      <c r="M281" s="292">
        <f t="shared" ref="M281:T281" si="69">M280/M276</f>
        <v>0.27958222796687693</v>
      </c>
      <c r="N281" s="293">
        <f t="shared" ref="N281:O281" si="70">N280/N276</f>
        <v>0.28548423181768878</v>
      </c>
      <c r="O281" s="293">
        <f t="shared" si="70"/>
        <v>0.29981663434120959</v>
      </c>
      <c r="P281" s="292">
        <f t="shared" si="69"/>
        <v>0.28967040586978665</v>
      </c>
      <c r="Q281" s="292">
        <f t="shared" si="69"/>
        <v>0.24194665692777725</v>
      </c>
      <c r="R281" s="292">
        <f t="shared" si="69"/>
        <v>0.17457114676027563</v>
      </c>
      <c r="S281" s="292">
        <f t="shared" ref="S281" si="71">S280/S276</f>
        <v>8.9872570561021992E-2</v>
      </c>
      <c r="T281" s="292">
        <f t="shared" si="69"/>
        <v>-1.4096509063791555E-2</v>
      </c>
      <c r="U281" s="399"/>
    </row>
    <row r="282" spans="1:27" s="330" customFormat="1" ht="15" customHeight="1">
      <c r="A282" s="608"/>
      <c r="B282" s="608"/>
      <c r="C282" s="608"/>
      <c r="D282" s="608"/>
      <c r="E282" s="608"/>
      <c r="F282" s="608"/>
      <c r="G282" s="608"/>
      <c r="H282" s="608"/>
      <c r="I282" s="608"/>
      <c r="J282" s="608"/>
      <c r="K282" s="329"/>
      <c r="L282" s="469"/>
      <c r="M282" s="469"/>
      <c r="N282" s="474"/>
      <c r="O282" s="474"/>
      <c r="P282" s="475"/>
      <c r="Q282" s="475"/>
      <c r="R282" s="475"/>
      <c r="S282" s="475"/>
      <c r="T282" s="475"/>
      <c r="U282" s="251"/>
      <c r="V282" s="253"/>
      <c r="W282" s="253"/>
      <c r="X282" s="253"/>
      <c r="Y282" s="253"/>
      <c r="Z282" s="253"/>
      <c r="AA282" s="253"/>
    </row>
    <row r="283" spans="1:27" s="205" customFormat="1" ht="15" customHeight="1">
      <c r="A283" s="385"/>
      <c r="B283" s="385"/>
      <c r="C283" s="385"/>
      <c r="D283" s="385"/>
      <c r="E283" s="385"/>
      <c r="F283" s="385"/>
      <c r="G283" s="385"/>
      <c r="H283" s="385"/>
      <c r="I283" s="385"/>
      <c r="J283" s="385"/>
      <c r="K283" s="385"/>
      <c r="L283" s="609"/>
      <c r="M283" s="609"/>
      <c r="N283" s="632"/>
      <c r="O283" s="632"/>
      <c r="P283" s="610"/>
      <c r="Q283" s="610"/>
      <c r="R283" s="610"/>
      <c r="S283" s="610"/>
      <c r="T283" s="610"/>
      <c r="U283" s="611"/>
      <c r="V283" s="612"/>
      <c r="W283" s="488"/>
      <c r="X283" s="488"/>
      <c r="Y283" s="488"/>
      <c r="Z283" s="488"/>
      <c r="AA283" s="488"/>
    </row>
    <row r="284" spans="1:27" s="205" customFormat="1" ht="24" customHeight="1">
      <c r="A284" s="331" t="s">
        <v>613</v>
      </c>
      <c r="B284" s="324"/>
      <c r="C284" s="324"/>
      <c r="D284" s="324"/>
      <c r="E284" s="324"/>
      <c r="F284" s="324"/>
      <c r="G284" s="324"/>
      <c r="H284" s="324"/>
      <c r="I284" s="324"/>
      <c r="J284" s="324"/>
      <c r="K284" s="324"/>
      <c r="L284" s="433"/>
      <c r="M284" s="433"/>
      <c r="N284" s="470"/>
      <c r="O284" s="470"/>
      <c r="P284" s="471"/>
      <c r="Q284" s="471"/>
      <c r="R284" s="471"/>
      <c r="S284" s="471"/>
      <c r="T284" s="471"/>
      <c r="U284" s="251"/>
      <c r="V284" s="761"/>
      <c r="W284" s="761"/>
      <c r="X284" s="761"/>
      <c r="Y284" s="761"/>
      <c r="Z284" s="761"/>
      <c r="AA284" s="696"/>
    </row>
    <row r="285" spans="1:27" s="205" customFormat="1" ht="15" customHeight="1">
      <c r="A285" s="324"/>
      <c r="B285" s="324"/>
      <c r="C285" s="324"/>
      <c r="D285" s="324"/>
      <c r="E285" s="324"/>
      <c r="F285" s="324"/>
      <c r="G285" s="324"/>
      <c r="H285" s="324"/>
      <c r="I285" s="324"/>
      <c r="J285" s="324"/>
      <c r="K285" s="324"/>
      <c r="L285" s="433"/>
      <c r="M285" s="433"/>
      <c r="N285" s="470"/>
      <c r="O285" s="470"/>
      <c r="P285" s="471"/>
      <c r="Q285" s="471"/>
      <c r="R285" s="471"/>
      <c r="S285" s="471"/>
      <c r="T285" s="471"/>
      <c r="U285" s="251"/>
      <c r="V285" s="584"/>
      <c r="W285" s="584"/>
      <c r="X285" s="584"/>
      <c r="Y285" s="584"/>
      <c r="Z285" s="584"/>
    </row>
    <row r="286" spans="1:27" s="205" customFormat="1" ht="24" customHeight="1">
      <c r="A286" s="430" t="s">
        <v>1214</v>
      </c>
      <c r="B286" s="255"/>
      <c r="C286" s="255"/>
      <c r="D286" s="430" t="s">
        <v>1215</v>
      </c>
      <c r="E286" s="255"/>
      <c r="F286" s="255"/>
      <c r="G286" s="255"/>
      <c r="H286" s="255"/>
      <c r="I286" s="255"/>
      <c r="J286" s="255"/>
      <c r="K286" s="255"/>
      <c r="L286" s="264">
        <v>3786</v>
      </c>
      <c r="M286" s="264">
        <v>3786</v>
      </c>
      <c r="N286" s="189">
        <v>8536</v>
      </c>
      <c r="O286" s="189">
        <v>8536</v>
      </c>
      <c r="P286" s="188">
        <v>7073</v>
      </c>
      <c r="Q286" s="188">
        <v>7073</v>
      </c>
      <c r="R286" s="188">
        <v>7073</v>
      </c>
      <c r="S286" s="188">
        <v>7073</v>
      </c>
      <c r="T286" s="188">
        <v>7073</v>
      </c>
      <c r="U286" s="251"/>
      <c r="V286" s="586"/>
      <c r="W286" s="586"/>
      <c r="X286" s="586"/>
      <c r="Y286" s="586"/>
      <c r="Z286" s="586"/>
      <c r="AA286" s="222"/>
    </row>
    <row r="287" spans="1:27" s="205" customFormat="1" ht="24" customHeight="1">
      <c r="A287" s="255" t="s">
        <v>725</v>
      </c>
      <c r="B287" s="255"/>
      <c r="C287" s="255"/>
      <c r="D287" s="255" t="s">
        <v>6</v>
      </c>
      <c r="E287" s="255"/>
      <c r="F287" s="255"/>
      <c r="G287" s="255"/>
      <c r="H287" s="255"/>
      <c r="I287" s="255"/>
      <c r="J287" s="255"/>
      <c r="K287" s="255"/>
      <c r="L287" s="270">
        <v>10</v>
      </c>
      <c r="M287" s="270">
        <v>1</v>
      </c>
      <c r="N287" s="202">
        <v>0</v>
      </c>
      <c r="O287" s="202">
        <v>0</v>
      </c>
      <c r="P287" s="201">
        <v>0</v>
      </c>
      <c r="Q287" s="201">
        <v>0</v>
      </c>
      <c r="R287" s="201">
        <v>0</v>
      </c>
      <c r="S287" s="201">
        <v>0</v>
      </c>
      <c r="T287" s="201">
        <v>0</v>
      </c>
      <c r="U287" s="251"/>
      <c r="V287" s="587"/>
      <c r="W287" s="587"/>
      <c r="X287" s="587"/>
      <c r="Y287" s="587"/>
      <c r="Z287" s="587"/>
      <c r="AA287" s="230"/>
    </row>
    <row r="288" spans="1:27" s="205" customFormat="1" ht="15" customHeight="1">
      <c r="A288" s="255"/>
      <c r="B288" s="255"/>
      <c r="C288" s="255"/>
      <c r="D288" s="255"/>
      <c r="E288" s="255"/>
      <c r="F288" s="255"/>
      <c r="G288" s="255"/>
      <c r="H288" s="255"/>
      <c r="I288" s="255"/>
      <c r="J288" s="255"/>
      <c r="K288" s="255"/>
      <c r="L288" s="265"/>
      <c r="M288" s="265"/>
      <c r="N288" s="195"/>
      <c r="O288" s="195"/>
      <c r="P288" s="192"/>
      <c r="Q288" s="192"/>
      <c r="R288" s="192"/>
      <c r="S288" s="192"/>
      <c r="T288" s="192"/>
      <c r="U288" s="251"/>
      <c r="V288" s="585"/>
      <c r="W288" s="585"/>
      <c r="X288" s="585"/>
      <c r="Y288" s="585"/>
      <c r="Z288" s="585"/>
    </row>
    <row r="289" spans="1:28" s="324" customFormat="1" ht="24" customHeight="1">
      <c r="K289" s="324" t="s">
        <v>595</v>
      </c>
      <c r="L289" s="273">
        <f t="shared" ref="L289:M289" si="72">SUM(L286:L288)</f>
        <v>3796</v>
      </c>
      <c r="M289" s="273">
        <f t="shared" si="72"/>
        <v>3787</v>
      </c>
      <c r="N289" s="274">
        <f t="shared" ref="N289:O289" si="73">SUM(N286:N288)</f>
        <v>8536</v>
      </c>
      <c r="O289" s="274">
        <f t="shared" si="73"/>
        <v>8536</v>
      </c>
      <c r="P289" s="273">
        <f t="shared" ref="P289:Q289" si="74">SUM(P286:P288)</f>
        <v>7073</v>
      </c>
      <c r="Q289" s="273">
        <f t="shared" si="74"/>
        <v>7073</v>
      </c>
      <c r="R289" s="273">
        <f>SUM(R286:R288)</f>
        <v>7073</v>
      </c>
      <c r="S289" s="273">
        <f>SUM(S286:S288)</f>
        <v>7073</v>
      </c>
      <c r="T289" s="273">
        <f>SUM(T286:T288)</f>
        <v>7073</v>
      </c>
      <c r="U289" s="542"/>
      <c r="V289" s="588"/>
      <c r="W289" s="588"/>
      <c r="X289" s="588"/>
      <c r="Y289" s="588"/>
      <c r="Z289" s="588"/>
      <c r="AA289" s="348"/>
    </row>
    <row r="290" spans="1:28" s="205" customFormat="1" ht="15" customHeight="1">
      <c r="A290" s="324"/>
      <c r="B290" s="324"/>
      <c r="C290" s="324"/>
      <c r="D290" s="324"/>
      <c r="E290" s="324"/>
      <c r="F290" s="324"/>
      <c r="G290" s="324"/>
      <c r="H290" s="324"/>
      <c r="I290" s="324"/>
      <c r="J290" s="324"/>
      <c r="K290" s="324"/>
      <c r="L290" s="289"/>
      <c r="M290" s="289"/>
      <c r="N290" s="207"/>
      <c r="O290" s="207"/>
      <c r="P290" s="206"/>
      <c r="Q290" s="206"/>
      <c r="R290" s="206"/>
      <c r="S290" s="206"/>
      <c r="T290" s="206"/>
      <c r="U290" s="251"/>
    </row>
    <row r="291" spans="1:28" s="205" customFormat="1" ht="24" customHeight="1">
      <c r="A291" s="320" t="s">
        <v>1100</v>
      </c>
      <c r="B291" s="332"/>
      <c r="C291" s="332"/>
      <c r="D291" s="322" t="s">
        <v>1099</v>
      </c>
      <c r="E291" s="332"/>
      <c r="F291" s="332"/>
      <c r="G291" s="332"/>
      <c r="H291" s="332"/>
      <c r="I291" s="332"/>
      <c r="J291" s="332"/>
      <c r="K291" s="332"/>
      <c r="L291" s="281">
        <v>0</v>
      </c>
      <c r="M291" s="281">
        <v>0</v>
      </c>
      <c r="N291" s="225">
        <v>15000</v>
      </c>
      <c r="O291" s="225">
        <v>0</v>
      </c>
      <c r="P291" s="217">
        <v>15000</v>
      </c>
      <c r="Q291" s="217">
        <v>0</v>
      </c>
      <c r="R291" s="217">
        <v>0</v>
      </c>
      <c r="S291" s="217">
        <v>0</v>
      </c>
      <c r="T291" s="217">
        <v>0</v>
      </c>
      <c r="U291" s="251"/>
      <c r="V291" s="704"/>
      <c r="W291" s="704"/>
      <c r="X291" s="704"/>
      <c r="Y291" s="704"/>
      <c r="Z291" s="704"/>
      <c r="AA291" s="231"/>
    </row>
    <row r="292" spans="1:28" s="205" customFormat="1" ht="24" customHeight="1">
      <c r="A292" s="320" t="s">
        <v>1205</v>
      </c>
      <c r="B292" s="332"/>
      <c r="C292" s="332"/>
      <c r="D292" s="322" t="s">
        <v>136</v>
      </c>
      <c r="E292" s="332"/>
      <c r="F292" s="332"/>
      <c r="G292" s="332"/>
      <c r="H292" s="332"/>
      <c r="I292" s="332"/>
      <c r="J292" s="332"/>
      <c r="K292" s="332"/>
      <c r="L292" s="281">
        <v>0</v>
      </c>
      <c r="M292" s="281">
        <v>190</v>
      </c>
      <c r="N292" s="225">
        <v>0</v>
      </c>
      <c r="O292" s="225">
        <v>0</v>
      </c>
      <c r="P292" s="217">
        <v>0</v>
      </c>
      <c r="Q292" s="217">
        <v>0</v>
      </c>
      <c r="R292" s="217">
        <v>0</v>
      </c>
      <c r="S292" s="217">
        <v>0</v>
      </c>
      <c r="T292" s="217">
        <v>0</v>
      </c>
      <c r="U292" s="251"/>
      <c r="V292" s="589"/>
      <c r="W292" s="589"/>
      <c r="X292" s="589"/>
      <c r="Y292" s="589"/>
      <c r="Z292" s="589"/>
      <c r="AA292" s="231"/>
    </row>
    <row r="293" spans="1:28" s="205" customFormat="1" ht="24" customHeight="1">
      <c r="A293" s="320" t="s">
        <v>277</v>
      </c>
      <c r="B293" s="321"/>
      <c r="C293" s="321"/>
      <c r="D293" s="320" t="s">
        <v>1170</v>
      </c>
      <c r="E293" s="594"/>
      <c r="F293" s="594"/>
      <c r="G293" s="594"/>
      <c r="H293" s="594"/>
      <c r="I293" s="594"/>
      <c r="J293" s="594"/>
      <c r="K293" s="594"/>
      <c r="L293" s="294">
        <v>5743</v>
      </c>
      <c r="M293" s="294">
        <v>7586</v>
      </c>
      <c r="N293" s="233">
        <v>4603</v>
      </c>
      <c r="O293" s="233">
        <v>4603</v>
      </c>
      <c r="P293" s="232">
        <f>ROUND(((4603*1.05)+10000),0)</f>
        <v>14833</v>
      </c>
      <c r="Q293" s="232">
        <f>ROUND(4833*1.05,0)</f>
        <v>5075</v>
      </c>
      <c r="R293" s="232">
        <f>ROUND(Q293*1.05,0)</f>
        <v>5329</v>
      </c>
      <c r="S293" s="232">
        <f t="shared" ref="S293:T293" si="75">ROUND(R293*1.05,0)</f>
        <v>5595</v>
      </c>
      <c r="T293" s="232">
        <f t="shared" si="75"/>
        <v>5875</v>
      </c>
      <c r="U293" s="251"/>
      <c r="V293" s="590"/>
      <c r="W293" s="590"/>
      <c r="X293" s="590"/>
      <c r="Y293" s="590"/>
      <c r="Z293" s="590"/>
      <c r="AA293" s="234"/>
    </row>
    <row r="294" spans="1:28" s="205" customFormat="1" ht="15" customHeight="1">
      <c r="A294" s="320"/>
      <c r="B294" s="321"/>
      <c r="C294" s="321"/>
      <c r="D294" s="320"/>
      <c r="E294" s="321"/>
      <c r="F294" s="321"/>
      <c r="G294" s="321"/>
      <c r="H294" s="321"/>
      <c r="I294" s="321"/>
      <c r="J294" s="321"/>
      <c r="K294" s="321"/>
      <c r="L294" s="281"/>
      <c r="M294" s="281"/>
      <c r="N294" s="225"/>
      <c r="O294" s="225"/>
      <c r="P294" s="217"/>
      <c r="Q294" s="217"/>
      <c r="R294" s="217"/>
      <c r="S294" s="217"/>
      <c r="T294" s="217"/>
      <c r="U294" s="251"/>
      <c r="V294" s="585"/>
      <c r="W294" s="585"/>
      <c r="X294" s="585"/>
      <c r="Y294" s="585"/>
      <c r="Z294" s="585"/>
    </row>
    <row r="295" spans="1:28" s="324" customFormat="1" ht="24" customHeight="1">
      <c r="A295" s="320"/>
      <c r="B295" s="321"/>
      <c r="C295" s="321"/>
      <c r="D295" s="320"/>
      <c r="E295" s="321"/>
      <c r="F295" s="321"/>
      <c r="G295" s="321"/>
      <c r="H295" s="321"/>
      <c r="I295" s="321"/>
      <c r="J295" s="321"/>
      <c r="K295" s="324" t="s">
        <v>598</v>
      </c>
      <c r="L295" s="273">
        <f>SUM(L291:L294)</f>
        <v>5743</v>
      </c>
      <c r="M295" s="273">
        <f>SUM(M291:M294)</f>
        <v>7776</v>
      </c>
      <c r="N295" s="274">
        <f t="shared" ref="N295:O295" si="76">SUM(N291:N294)</f>
        <v>19603</v>
      </c>
      <c r="O295" s="274">
        <f t="shared" si="76"/>
        <v>4603</v>
      </c>
      <c r="P295" s="273">
        <f t="shared" ref="P295:T295" si="77">SUM(P291:P294)</f>
        <v>29833</v>
      </c>
      <c r="Q295" s="273">
        <f t="shared" si="77"/>
        <v>5075</v>
      </c>
      <c r="R295" s="273">
        <f t="shared" si="77"/>
        <v>5329</v>
      </c>
      <c r="S295" s="273">
        <f t="shared" ref="S295" si="78">SUM(S291:S294)</f>
        <v>5595</v>
      </c>
      <c r="T295" s="273">
        <f t="shared" si="77"/>
        <v>5875</v>
      </c>
      <c r="U295" s="400"/>
      <c r="V295" s="591"/>
      <c r="W295" s="591"/>
      <c r="X295" s="591"/>
      <c r="Y295" s="591"/>
      <c r="Z295" s="591"/>
      <c r="AA295" s="329"/>
    </row>
    <row r="296" spans="1:28" s="324" customFormat="1" ht="15" customHeight="1">
      <c r="L296" s="273"/>
      <c r="M296" s="273"/>
      <c r="N296" s="274"/>
      <c r="O296" s="274"/>
      <c r="P296" s="273"/>
      <c r="Q296" s="273"/>
      <c r="R296" s="273"/>
      <c r="S296" s="273"/>
      <c r="T296" s="273"/>
      <c r="U296" s="542"/>
      <c r="V296" s="386"/>
      <c r="W296" s="386"/>
      <c r="X296" s="386"/>
      <c r="Y296" s="386"/>
      <c r="Z296" s="386"/>
    </row>
    <row r="297" spans="1:28" s="324" customFormat="1" ht="24" customHeight="1">
      <c r="K297" s="324" t="s">
        <v>599</v>
      </c>
      <c r="L297" s="273">
        <f t="shared" ref="L297" si="79">L289-L295</f>
        <v>-1947</v>
      </c>
      <c r="M297" s="273">
        <f t="shared" ref="M297:T297" si="80">M289-M295</f>
        <v>-3989</v>
      </c>
      <c r="N297" s="274">
        <f t="shared" ref="N297:O297" si="81">N289-N295</f>
        <v>-11067</v>
      </c>
      <c r="O297" s="274">
        <f t="shared" si="81"/>
        <v>3933</v>
      </c>
      <c r="P297" s="273">
        <f t="shared" si="80"/>
        <v>-22760</v>
      </c>
      <c r="Q297" s="273">
        <f t="shared" si="80"/>
        <v>1998</v>
      </c>
      <c r="R297" s="273">
        <f t="shared" si="80"/>
        <v>1744</v>
      </c>
      <c r="S297" s="273">
        <f t="shared" ref="S297" si="82">S289-S295</f>
        <v>1478</v>
      </c>
      <c r="T297" s="273">
        <f t="shared" si="80"/>
        <v>1198</v>
      </c>
      <c r="U297" s="542"/>
      <c r="V297" s="588"/>
      <c r="W297" s="588"/>
      <c r="X297" s="588"/>
      <c r="Y297" s="588"/>
      <c r="Z297" s="588"/>
      <c r="AA297" s="348"/>
    </row>
    <row r="298" spans="1:28" s="324" customFormat="1" ht="15" customHeight="1">
      <c r="L298" s="273"/>
      <c r="M298" s="273"/>
      <c r="N298" s="274"/>
      <c r="O298" s="274"/>
      <c r="P298" s="273"/>
      <c r="Q298" s="273"/>
      <c r="R298" s="273"/>
      <c r="S298" s="273"/>
      <c r="T298" s="273"/>
      <c r="U298" s="542"/>
      <c r="V298" s="386"/>
      <c r="W298" s="386"/>
      <c r="X298" s="386"/>
      <c r="Y298" s="386"/>
      <c r="Z298" s="386"/>
    </row>
    <row r="299" spans="1:28" s="324" customFormat="1" ht="24" customHeight="1">
      <c r="K299" s="329" t="s">
        <v>601</v>
      </c>
      <c r="L299" s="290">
        <v>15124</v>
      </c>
      <c r="M299" s="290">
        <v>11134</v>
      </c>
      <c r="N299" s="291">
        <v>154</v>
      </c>
      <c r="O299" s="291">
        <f>M299+O297</f>
        <v>15067</v>
      </c>
      <c r="P299" s="290">
        <f>O299+P297</f>
        <v>-7693</v>
      </c>
      <c r="Q299" s="290">
        <f>P299+Q297</f>
        <v>-5695</v>
      </c>
      <c r="R299" s="290">
        <f>Q299+R297</f>
        <v>-3951</v>
      </c>
      <c r="S299" s="290">
        <f>R299+S297</f>
        <v>-2473</v>
      </c>
      <c r="T299" s="290">
        <f>S299+T297</f>
        <v>-1275</v>
      </c>
      <c r="U299" s="542"/>
      <c r="V299" s="588"/>
      <c r="W299" s="588"/>
      <c r="X299" s="588"/>
      <c r="Y299" s="588"/>
      <c r="Z299" s="588"/>
      <c r="AA299" s="348"/>
    </row>
    <row r="300" spans="1:28" s="330" customFormat="1" ht="24" customHeight="1">
      <c r="L300" s="292">
        <f t="shared" ref="L300" si="83">L299/L295</f>
        <v>2.6334668291833538</v>
      </c>
      <c r="M300" s="292">
        <f t="shared" ref="M300:T300" si="84">M299/M295</f>
        <v>1.4318415637860082</v>
      </c>
      <c r="N300" s="293">
        <f t="shared" ref="N300:O300" si="85">N299/N295</f>
        <v>7.8559404172830697E-3</v>
      </c>
      <c r="O300" s="293">
        <f t="shared" si="85"/>
        <v>3.2733000217249621</v>
      </c>
      <c r="P300" s="292">
        <f t="shared" si="84"/>
        <v>-0.25786880300338549</v>
      </c>
      <c r="Q300" s="292">
        <f t="shared" si="84"/>
        <v>-1.122167487684729</v>
      </c>
      <c r="R300" s="292">
        <f t="shared" si="84"/>
        <v>-0.74141489960592977</v>
      </c>
      <c r="S300" s="292">
        <f t="shared" ref="S300" si="86">S299/S295</f>
        <v>-0.44200178731009832</v>
      </c>
      <c r="T300" s="292">
        <f t="shared" si="84"/>
        <v>-0.21702127659574469</v>
      </c>
      <c r="U300" s="399"/>
      <c r="V300" s="592"/>
      <c r="W300" s="592"/>
      <c r="X300" s="592"/>
      <c r="Y300" s="592"/>
      <c r="Z300" s="592"/>
      <c r="AA300" s="292"/>
    </row>
    <row r="301" spans="1:28" ht="15" customHeight="1">
      <c r="A301" s="255"/>
      <c r="B301" s="255"/>
      <c r="C301" s="255"/>
      <c r="D301" s="255"/>
      <c r="E301" s="255"/>
      <c r="F301" s="255"/>
      <c r="G301" s="255"/>
      <c r="H301" s="255"/>
      <c r="I301" s="255"/>
      <c r="J301" s="255"/>
      <c r="K301" s="255"/>
      <c r="L301" s="318"/>
      <c r="M301" s="318"/>
      <c r="N301" s="466"/>
      <c r="O301" s="466"/>
      <c r="P301" s="467"/>
      <c r="Q301" s="467"/>
      <c r="R301" s="467"/>
      <c r="S301" s="467"/>
      <c r="T301" s="467"/>
      <c r="V301" s="528"/>
      <c r="W301" s="528"/>
      <c r="X301" s="528"/>
      <c r="Y301" s="528"/>
      <c r="Z301" s="528"/>
      <c r="AA301" s="528"/>
    </row>
    <row r="302" spans="1:28" ht="24" customHeight="1">
      <c r="A302" s="331" t="s">
        <v>614</v>
      </c>
      <c r="B302" s="583"/>
      <c r="C302" s="583"/>
      <c r="D302" s="583"/>
      <c r="E302" s="255"/>
      <c r="F302" s="255"/>
      <c r="G302" s="255"/>
      <c r="H302" s="255"/>
      <c r="I302" s="255"/>
      <c r="J302" s="255"/>
      <c r="K302" s="255"/>
      <c r="L302" s="318"/>
      <c r="M302" s="318"/>
      <c r="N302" s="466"/>
      <c r="O302" s="466"/>
      <c r="P302" s="467"/>
      <c r="Q302" s="467"/>
      <c r="R302" s="467"/>
      <c r="S302" s="467"/>
      <c r="T302" s="467"/>
      <c r="V302" s="584"/>
      <c r="W302" s="584"/>
      <c r="X302" s="584"/>
      <c r="Y302" s="584"/>
      <c r="Z302" s="584"/>
      <c r="AA302" s="584"/>
    </row>
    <row r="303" spans="1:28" ht="15" customHeight="1">
      <c r="A303" s="255"/>
      <c r="B303" s="255"/>
      <c r="C303" s="255"/>
      <c r="D303" s="255"/>
      <c r="E303" s="255"/>
      <c r="F303" s="255"/>
      <c r="G303" s="255"/>
      <c r="H303" s="255"/>
      <c r="I303" s="255"/>
      <c r="J303" s="255"/>
      <c r="K303" s="255"/>
      <c r="L303" s="318"/>
      <c r="M303" s="318"/>
      <c r="N303" s="466"/>
      <c r="O303" s="466"/>
      <c r="P303" s="467"/>
      <c r="Q303" s="467"/>
      <c r="R303" s="467"/>
      <c r="S303" s="467"/>
      <c r="T303" s="467"/>
      <c r="V303" s="585"/>
      <c r="W303" s="585"/>
      <c r="X303" s="585"/>
      <c r="Y303" s="585"/>
      <c r="Z303" s="585"/>
      <c r="AA303" s="585"/>
    </row>
    <row r="304" spans="1:28" ht="24" customHeight="1">
      <c r="A304" s="430" t="s">
        <v>1212</v>
      </c>
      <c r="B304" s="255"/>
      <c r="C304" s="255"/>
      <c r="D304" s="430" t="s">
        <v>1213</v>
      </c>
      <c r="E304" s="255"/>
      <c r="F304" s="255"/>
      <c r="G304" s="255"/>
      <c r="H304" s="255"/>
      <c r="I304" s="255"/>
      <c r="J304" s="255"/>
      <c r="K304" s="255"/>
      <c r="L304" s="265">
        <v>7530</v>
      </c>
      <c r="M304" s="265">
        <v>7467</v>
      </c>
      <c r="N304" s="225">
        <v>17416</v>
      </c>
      <c r="O304" s="225">
        <v>17417</v>
      </c>
      <c r="P304" s="217">
        <v>18608</v>
      </c>
      <c r="Q304" s="217">
        <v>20392</v>
      </c>
      <c r="R304" s="217">
        <v>20392</v>
      </c>
      <c r="S304" s="217">
        <v>20392</v>
      </c>
      <c r="T304" s="217">
        <v>20392</v>
      </c>
      <c r="V304" s="586"/>
      <c r="W304" s="586"/>
      <c r="X304" s="586"/>
      <c r="Y304" s="586"/>
      <c r="Z304" s="586"/>
      <c r="AA304" s="586"/>
      <c r="AB304" s="222"/>
    </row>
    <row r="305" spans="1:27" ht="24" customHeight="1">
      <c r="A305" s="255" t="s">
        <v>726</v>
      </c>
      <c r="B305" s="255"/>
      <c r="C305" s="255"/>
      <c r="D305" s="255" t="s">
        <v>6</v>
      </c>
      <c r="E305" s="255"/>
      <c r="F305" s="255"/>
      <c r="G305" s="255"/>
      <c r="H305" s="255"/>
      <c r="I305" s="255"/>
      <c r="J305" s="255"/>
      <c r="K305" s="255"/>
      <c r="L305" s="270">
        <v>14</v>
      </c>
      <c r="M305" s="270">
        <v>2</v>
      </c>
      <c r="N305" s="202">
        <v>0</v>
      </c>
      <c r="O305" s="202">
        <v>0</v>
      </c>
      <c r="P305" s="201">
        <v>0</v>
      </c>
      <c r="Q305" s="201">
        <v>0</v>
      </c>
      <c r="R305" s="201">
        <v>0</v>
      </c>
      <c r="S305" s="201">
        <v>0</v>
      </c>
      <c r="T305" s="201">
        <v>0</v>
      </c>
      <c r="V305" s="587"/>
      <c r="W305" s="587"/>
      <c r="X305" s="587"/>
      <c r="Y305" s="587"/>
      <c r="Z305" s="587"/>
      <c r="AA305" s="587"/>
    </row>
    <row r="306" spans="1:27" ht="15" customHeight="1">
      <c r="A306" s="255"/>
      <c r="B306" s="255"/>
      <c r="C306" s="255"/>
      <c r="D306" s="255"/>
      <c r="E306" s="255"/>
      <c r="F306" s="255"/>
      <c r="G306" s="255"/>
      <c r="H306" s="255"/>
      <c r="I306" s="255"/>
      <c r="J306" s="255"/>
      <c r="K306" s="255"/>
      <c r="L306" s="265"/>
      <c r="M306" s="265"/>
      <c r="N306" s="195"/>
      <c r="O306" s="195"/>
      <c r="P306" s="192"/>
      <c r="Q306" s="192"/>
      <c r="R306" s="192"/>
      <c r="S306" s="192"/>
      <c r="T306" s="192"/>
      <c r="V306" s="585"/>
      <c r="W306" s="585"/>
      <c r="X306" s="585"/>
      <c r="Y306" s="585"/>
      <c r="Z306" s="585"/>
      <c r="AA306" s="585"/>
    </row>
    <row r="307" spans="1:27" s="255" customFormat="1" ht="24" customHeight="1">
      <c r="K307" s="324" t="s">
        <v>595</v>
      </c>
      <c r="L307" s="273">
        <f t="shared" ref="L307:M307" si="87">SUM(L304:L306)</f>
        <v>7544</v>
      </c>
      <c r="M307" s="273">
        <f t="shared" si="87"/>
        <v>7469</v>
      </c>
      <c r="N307" s="274">
        <f t="shared" ref="N307:O307" si="88">SUM(N304:N306)</f>
        <v>17416</v>
      </c>
      <c r="O307" s="274">
        <f t="shared" si="88"/>
        <v>17417</v>
      </c>
      <c r="P307" s="273">
        <f t="shared" ref="P307:Q307" si="89">SUM(P304:P306)</f>
        <v>18608</v>
      </c>
      <c r="Q307" s="273">
        <f t="shared" si="89"/>
        <v>20392</v>
      </c>
      <c r="R307" s="273">
        <f>SUM(R304:R306)</f>
        <v>20392</v>
      </c>
      <c r="S307" s="273">
        <f>SUM(S304:S306)</f>
        <v>20392</v>
      </c>
      <c r="T307" s="273">
        <f>SUM(T304:T306)</f>
        <v>20392</v>
      </c>
      <c r="U307" s="542"/>
      <c r="V307" s="588"/>
      <c r="W307" s="588"/>
      <c r="X307" s="588"/>
      <c r="Y307" s="588"/>
      <c r="Z307" s="588"/>
      <c r="AA307" s="588"/>
    </row>
    <row r="308" spans="1:27" ht="15" customHeight="1">
      <c r="A308" s="255"/>
      <c r="B308" s="255"/>
      <c r="C308" s="255"/>
      <c r="D308" s="255"/>
      <c r="E308" s="255"/>
      <c r="F308" s="255"/>
      <c r="G308" s="255"/>
      <c r="H308" s="255"/>
      <c r="I308" s="255"/>
      <c r="J308" s="255"/>
      <c r="K308" s="324"/>
      <c r="L308" s="273"/>
      <c r="M308" s="273"/>
      <c r="N308" s="207"/>
      <c r="O308" s="207"/>
      <c r="P308" s="206"/>
      <c r="Q308" s="206"/>
      <c r="R308" s="206"/>
      <c r="S308" s="206"/>
      <c r="T308" s="206"/>
      <c r="V308" s="585"/>
      <c r="W308" s="585"/>
      <c r="X308" s="585"/>
      <c r="Y308" s="585"/>
      <c r="Z308" s="585"/>
      <c r="AA308" s="585"/>
    </row>
    <row r="309" spans="1:27" ht="24" customHeight="1">
      <c r="A309" s="320" t="s">
        <v>1097</v>
      </c>
      <c r="B309" s="332"/>
      <c r="C309" s="332"/>
      <c r="D309" s="322" t="s">
        <v>1098</v>
      </c>
      <c r="E309" s="332"/>
      <c r="F309" s="332"/>
      <c r="G309" s="332"/>
      <c r="H309" s="332"/>
      <c r="I309" s="332"/>
      <c r="J309" s="332"/>
      <c r="K309" s="332"/>
      <c r="L309" s="281">
        <v>0</v>
      </c>
      <c r="M309" s="281">
        <v>0</v>
      </c>
      <c r="N309" s="225">
        <v>25000</v>
      </c>
      <c r="O309" s="225">
        <v>40000</v>
      </c>
      <c r="P309" s="217">
        <v>26060</v>
      </c>
      <c r="Q309" s="209">
        <v>0</v>
      </c>
      <c r="R309" s="217">
        <v>0</v>
      </c>
      <c r="S309" s="217">
        <v>0</v>
      </c>
      <c r="T309" s="217">
        <v>0</v>
      </c>
      <c r="V309" s="589"/>
      <c r="W309" s="589"/>
      <c r="X309" s="589"/>
      <c r="Y309" s="589"/>
      <c r="Z309" s="589"/>
      <c r="AA309" s="589"/>
    </row>
    <row r="310" spans="1:27" ht="24" customHeight="1">
      <c r="A310" s="320" t="s">
        <v>276</v>
      </c>
      <c r="B310" s="321"/>
      <c r="C310" s="321"/>
      <c r="D310" s="320" t="s">
        <v>1170</v>
      </c>
      <c r="E310" s="594"/>
      <c r="F310" s="594"/>
      <c r="G310" s="594"/>
      <c r="H310" s="594"/>
      <c r="I310" s="594"/>
      <c r="J310" s="594"/>
      <c r="K310" s="594"/>
      <c r="L310" s="294">
        <v>11992</v>
      </c>
      <c r="M310" s="294">
        <v>12635</v>
      </c>
      <c r="N310" s="233">
        <v>10985</v>
      </c>
      <c r="O310" s="233">
        <v>10985</v>
      </c>
      <c r="P310" s="232">
        <f>ROUND(O310*1.05,0)</f>
        <v>11534</v>
      </c>
      <c r="Q310" s="232">
        <f t="shared" ref="Q310:R310" si="90">ROUND(P310*1.05,0)</f>
        <v>12111</v>
      </c>
      <c r="R310" s="232">
        <f t="shared" si="90"/>
        <v>12717</v>
      </c>
      <c r="S310" s="232">
        <f>ROUND(R310*1.05,0)</f>
        <v>13353</v>
      </c>
      <c r="T310" s="232">
        <f>ROUND(S310*1.05,0)</f>
        <v>14021</v>
      </c>
      <c r="V310" s="590"/>
      <c r="W310" s="590"/>
      <c r="X310" s="590"/>
      <c r="Y310" s="590"/>
      <c r="Z310" s="590"/>
      <c r="AA310" s="590"/>
    </row>
    <row r="311" spans="1:27" ht="15" customHeight="1">
      <c r="A311" s="320"/>
      <c r="B311" s="321"/>
      <c r="C311" s="321"/>
      <c r="D311" s="320"/>
      <c r="E311" s="321"/>
      <c r="F311" s="321"/>
      <c r="G311" s="321"/>
      <c r="H311" s="321"/>
      <c r="I311" s="321"/>
      <c r="J311" s="321"/>
      <c r="K311" s="321"/>
      <c r="L311" s="281"/>
      <c r="M311" s="281"/>
      <c r="N311" s="225"/>
      <c r="O311" s="225"/>
      <c r="P311" s="217"/>
      <c r="Q311" s="217"/>
      <c r="R311" s="217"/>
      <c r="S311" s="217"/>
      <c r="T311" s="217"/>
      <c r="V311" s="585"/>
      <c r="W311" s="585"/>
      <c r="X311" s="585"/>
      <c r="Y311" s="585"/>
      <c r="Z311" s="585"/>
      <c r="AA311" s="585"/>
    </row>
    <row r="312" spans="1:27" s="255" customFormat="1" ht="24" customHeight="1">
      <c r="A312" s="320"/>
      <c r="B312" s="321"/>
      <c r="C312" s="321"/>
      <c r="D312" s="320"/>
      <c r="E312" s="321"/>
      <c r="F312" s="321"/>
      <c r="G312" s="321"/>
      <c r="H312" s="321"/>
      <c r="I312" s="321"/>
      <c r="J312" s="321"/>
      <c r="K312" s="324" t="s">
        <v>598</v>
      </c>
      <c r="L312" s="273">
        <f t="shared" ref="L312" si="91">SUM(L309:L311)</f>
        <v>11992</v>
      </c>
      <c r="M312" s="273">
        <f t="shared" ref="M312:T312" si="92">SUM(M309:M311)</f>
        <v>12635</v>
      </c>
      <c r="N312" s="274">
        <f t="shared" ref="N312:O312" si="93">SUM(N309:N311)</f>
        <v>35985</v>
      </c>
      <c r="O312" s="274">
        <f t="shared" si="93"/>
        <v>50985</v>
      </c>
      <c r="P312" s="273">
        <f t="shared" si="92"/>
        <v>37594</v>
      </c>
      <c r="Q312" s="273">
        <f t="shared" si="92"/>
        <v>12111</v>
      </c>
      <c r="R312" s="273">
        <f t="shared" si="92"/>
        <v>12717</v>
      </c>
      <c r="S312" s="273">
        <f t="shared" ref="S312" si="94">SUM(S309:S311)</f>
        <v>13353</v>
      </c>
      <c r="T312" s="273">
        <f t="shared" si="92"/>
        <v>14021</v>
      </c>
      <c r="U312" s="542"/>
      <c r="V312" s="591"/>
      <c r="W312" s="591"/>
      <c r="X312" s="591"/>
      <c r="Y312" s="591"/>
      <c r="Z312" s="591"/>
      <c r="AA312" s="591"/>
    </row>
    <row r="313" spans="1:27" s="255" customFormat="1" ht="15" customHeight="1">
      <c r="L313" s="271"/>
      <c r="M313" s="271"/>
      <c r="N313" s="272"/>
      <c r="O313" s="272"/>
      <c r="P313" s="271"/>
      <c r="Q313" s="271"/>
      <c r="R313" s="271"/>
      <c r="S313" s="271"/>
      <c r="T313" s="271"/>
      <c r="U313" s="542"/>
      <c r="V313" s="386"/>
      <c r="W313" s="386"/>
      <c r="X313" s="386"/>
      <c r="Y313" s="386"/>
      <c r="Z313" s="386"/>
      <c r="AA313" s="386"/>
    </row>
    <row r="314" spans="1:27" s="255" customFormat="1" ht="24" customHeight="1">
      <c r="K314" s="324" t="s">
        <v>599</v>
      </c>
      <c r="L314" s="290">
        <f t="shared" ref="L314" si="95">L307-L312</f>
        <v>-4448</v>
      </c>
      <c r="M314" s="290">
        <f t="shared" ref="M314:T314" si="96">M307-M312</f>
        <v>-5166</v>
      </c>
      <c r="N314" s="291">
        <f t="shared" ref="N314:O314" si="97">N307-N312</f>
        <v>-18569</v>
      </c>
      <c r="O314" s="291">
        <f t="shared" si="97"/>
        <v>-33568</v>
      </c>
      <c r="P314" s="290">
        <f t="shared" si="96"/>
        <v>-18986</v>
      </c>
      <c r="Q314" s="290">
        <f t="shared" si="96"/>
        <v>8281</v>
      </c>
      <c r="R314" s="290">
        <f t="shared" si="96"/>
        <v>7675</v>
      </c>
      <c r="S314" s="290">
        <f t="shared" ref="S314" si="98">S307-S312</f>
        <v>7039</v>
      </c>
      <c r="T314" s="290">
        <f t="shared" si="96"/>
        <v>6371</v>
      </c>
      <c r="U314" s="542"/>
      <c r="V314" s="588"/>
      <c r="W314" s="588"/>
      <c r="X314" s="588"/>
      <c r="Y314" s="588"/>
      <c r="Z314" s="588"/>
      <c r="AA314" s="588"/>
    </row>
    <row r="315" spans="1:27" s="255" customFormat="1" ht="15" customHeight="1">
      <c r="L315" s="290"/>
      <c r="M315" s="290"/>
      <c r="N315" s="291"/>
      <c r="O315" s="291"/>
      <c r="P315" s="290"/>
      <c r="Q315" s="290"/>
      <c r="R315" s="290"/>
      <c r="S315" s="290"/>
      <c r="T315" s="290"/>
      <c r="U315" s="542"/>
      <c r="V315" s="386"/>
      <c r="W315" s="386"/>
      <c r="X315" s="386"/>
      <c r="Y315" s="386"/>
      <c r="Z315" s="386"/>
      <c r="AA315" s="386"/>
    </row>
    <row r="316" spans="1:27" s="255" customFormat="1" ht="24" customHeight="1">
      <c r="K316" s="329" t="s">
        <v>601</v>
      </c>
      <c r="L316" s="290">
        <v>7740</v>
      </c>
      <c r="M316" s="290">
        <v>2574</v>
      </c>
      <c r="N316" s="291">
        <v>-18345</v>
      </c>
      <c r="O316" s="291">
        <f>M316+O314</f>
        <v>-30994</v>
      </c>
      <c r="P316" s="290">
        <f>O316+P314</f>
        <v>-49980</v>
      </c>
      <c r="Q316" s="290">
        <f>P316+Q314</f>
        <v>-41699</v>
      </c>
      <c r="R316" s="290">
        <f>Q316+R314</f>
        <v>-34024</v>
      </c>
      <c r="S316" s="290">
        <f>R316+S314</f>
        <v>-26985</v>
      </c>
      <c r="T316" s="290">
        <f>S316+T314</f>
        <v>-20614</v>
      </c>
      <c r="U316" s="542"/>
      <c r="V316" s="588"/>
      <c r="W316" s="588"/>
      <c r="X316" s="588"/>
      <c r="Y316" s="588"/>
      <c r="Z316" s="588"/>
      <c r="AA316" s="588"/>
    </row>
    <row r="317" spans="1:27" s="333" customFormat="1" ht="24" customHeight="1">
      <c r="L317" s="292">
        <f t="shared" ref="L317" si="99">L316/L312</f>
        <v>0.64543028685790527</v>
      </c>
      <c r="M317" s="292">
        <f t="shared" ref="M317:T317" si="100">M316/M312</f>
        <v>0.2037198258804907</v>
      </c>
      <c r="N317" s="293">
        <f t="shared" ref="N317:O317" si="101">N316/N312</f>
        <v>-0.50979574822842855</v>
      </c>
      <c r="O317" s="293">
        <f t="shared" si="101"/>
        <v>-0.60790428557418852</v>
      </c>
      <c r="P317" s="292">
        <f t="shared" si="100"/>
        <v>-1.3294674682130128</v>
      </c>
      <c r="Q317" s="292">
        <f t="shared" si="100"/>
        <v>-3.443068285030138</v>
      </c>
      <c r="R317" s="292">
        <f t="shared" si="100"/>
        <v>-2.675473775261461</v>
      </c>
      <c r="S317" s="292">
        <f t="shared" ref="S317" si="102">S316/S312</f>
        <v>-2.0208941810829026</v>
      </c>
      <c r="T317" s="292">
        <f t="shared" si="100"/>
        <v>-1.4702232365737109</v>
      </c>
      <c r="U317" s="399"/>
      <c r="V317" s="592"/>
      <c r="W317" s="592"/>
      <c r="X317" s="592"/>
      <c r="Y317" s="592"/>
      <c r="Z317" s="592"/>
      <c r="AA317" s="592"/>
    </row>
    <row r="318" spans="1:27" ht="15" customHeight="1">
      <c r="A318" s="255"/>
      <c r="B318" s="255"/>
      <c r="C318" s="255"/>
      <c r="D318" s="255"/>
      <c r="E318" s="255"/>
      <c r="F318" s="255"/>
      <c r="G318" s="255"/>
      <c r="H318" s="255"/>
      <c r="I318" s="255"/>
      <c r="J318" s="255"/>
      <c r="K318" s="255"/>
      <c r="L318" s="318"/>
      <c r="M318" s="318"/>
      <c r="N318" s="466"/>
      <c r="O318" s="466"/>
      <c r="P318" s="467"/>
      <c r="Q318" s="467"/>
      <c r="R318" s="467"/>
      <c r="S318" s="467"/>
      <c r="T318" s="467"/>
    </row>
    <row r="319" spans="1:27" ht="24" customHeight="1">
      <c r="A319" s="331" t="s">
        <v>963</v>
      </c>
      <c r="B319" s="255"/>
      <c r="C319" s="255"/>
      <c r="D319" s="255"/>
      <c r="E319" s="255"/>
      <c r="F319" s="255"/>
      <c r="G319" s="255"/>
      <c r="H319" s="255"/>
      <c r="I319" s="255"/>
      <c r="J319" s="255"/>
      <c r="K319" s="255"/>
      <c r="L319" s="318"/>
      <c r="M319" s="318"/>
      <c r="N319" s="466"/>
      <c r="O319" s="466"/>
      <c r="P319" s="467"/>
      <c r="Q319" s="467"/>
      <c r="R319" s="467"/>
      <c r="S319" s="467"/>
      <c r="T319" s="467"/>
    </row>
    <row r="320" spans="1:27" ht="15" customHeight="1">
      <c r="A320" s="255"/>
      <c r="B320" s="255"/>
      <c r="C320" s="255"/>
      <c r="D320" s="255"/>
      <c r="E320" s="255"/>
      <c r="F320" s="255"/>
      <c r="G320" s="255"/>
      <c r="H320" s="255"/>
      <c r="I320" s="255"/>
      <c r="J320" s="255"/>
      <c r="K320" s="255"/>
      <c r="L320" s="318"/>
      <c r="M320" s="318"/>
      <c r="N320" s="466"/>
      <c r="O320" s="466"/>
      <c r="P320" s="467"/>
      <c r="Q320" s="467"/>
      <c r="R320" s="467"/>
      <c r="S320" s="467"/>
      <c r="T320" s="467"/>
    </row>
    <row r="321" spans="1:29" ht="24" customHeight="1">
      <c r="A321" s="320" t="s">
        <v>278</v>
      </c>
      <c r="B321" s="255"/>
      <c r="C321" s="255"/>
      <c r="D321" s="320" t="s">
        <v>279</v>
      </c>
      <c r="E321" s="255"/>
      <c r="F321" s="255"/>
      <c r="G321" s="255"/>
      <c r="H321" s="255"/>
      <c r="I321" s="255"/>
      <c r="J321" s="255"/>
      <c r="K321" s="255"/>
      <c r="L321" s="265">
        <v>402932</v>
      </c>
      <c r="M321" s="265">
        <v>417742</v>
      </c>
      <c r="N321" s="195">
        <v>400000</v>
      </c>
      <c r="O321" s="195">
        <v>420000</v>
      </c>
      <c r="P321" s="192">
        <v>412500</v>
      </c>
      <c r="Q321" s="192">
        <v>412500</v>
      </c>
      <c r="R321" s="192">
        <v>412500</v>
      </c>
      <c r="S321" s="192">
        <v>412500</v>
      </c>
      <c r="T321" s="192">
        <v>412500</v>
      </c>
    </row>
    <row r="322" spans="1:29" ht="24" customHeight="1">
      <c r="A322" s="320" t="s">
        <v>280</v>
      </c>
      <c r="B322" s="255"/>
      <c r="C322" s="255"/>
      <c r="D322" s="159" t="s">
        <v>281</v>
      </c>
      <c r="E322" s="255"/>
      <c r="F322" s="255"/>
      <c r="G322" s="255"/>
      <c r="H322" s="255"/>
      <c r="I322" s="255"/>
      <c r="J322" s="255"/>
      <c r="K322" s="255"/>
      <c r="L322" s="264">
        <v>39164</v>
      </c>
      <c r="M322" s="264">
        <v>41814</v>
      </c>
      <c r="N322" s="189">
        <v>40000</v>
      </c>
      <c r="O322" s="189">
        <v>41892</v>
      </c>
      <c r="P322" s="188">
        <v>41000</v>
      </c>
      <c r="Q322" s="188">
        <v>41000</v>
      </c>
      <c r="R322" s="188">
        <v>41000</v>
      </c>
      <c r="S322" s="188">
        <v>41000</v>
      </c>
      <c r="T322" s="188">
        <v>41000</v>
      </c>
      <c r="V322" s="191"/>
      <c r="X322" s="764"/>
      <c r="Y322" s="764"/>
      <c r="Z322" s="764"/>
      <c r="AA322" s="764"/>
      <c r="AB322" s="764"/>
    </row>
    <row r="323" spans="1:29" ht="24" customHeight="1">
      <c r="A323" s="320" t="s">
        <v>282</v>
      </c>
      <c r="B323" s="255"/>
      <c r="C323" s="255"/>
      <c r="D323" s="159" t="s">
        <v>283</v>
      </c>
      <c r="E323" s="255"/>
      <c r="F323" s="255"/>
      <c r="G323" s="255"/>
      <c r="H323" s="255"/>
      <c r="I323" s="255"/>
      <c r="J323" s="255"/>
      <c r="K323" s="255"/>
      <c r="L323" s="266">
        <v>73122</v>
      </c>
      <c r="M323" s="266">
        <v>73122</v>
      </c>
      <c r="N323" s="194">
        <v>0</v>
      </c>
      <c r="O323" s="194">
        <v>146244</v>
      </c>
      <c r="P323" s="193">
        <v>0</v>
      </c>
      <c r="Q323" s="193">
        <v>0</v>
      </c>
      <c r="R323" s="193">
        <v>0</v>
      </c>
      <c r="S323" s="193">
        <v>0</v>
      </c>
      <c r="T323" s="193">
        <v>0</v>
      </c>
    </row>
    <row r="324" spans="1:29" ht="24" customHeight="1">
      <c r="A324" s="320" t="s">
        <v>1256</v>
      </c>
      <c r="B324" s="455"/>
      <c r="C324" s="455"/>
      <c r="D324" s="320" t="s">
        <v>1309</v>
      </c>
      <c r="E324" s="618"/>
      <c r="F324" s="618"/>
      <c r="G324" s="618"/>
      <c r="H324" s="618"/>
      <c r="I324" s="618"/>
      <c r="J324" s="618"/>
      <c r="K324" s="618"/>
      <c r="L324" s="265">
        <v>0</v>
      </c>
      <c r="M324" s="265">
        <v>75195</v>
      </c>
      <c r="N324" s="195">
        <v>0</v>
      </c>
      <c r="O324" s="195">
        <f>ROUND(O347*0.5,0)</f>
        <v>36725</v>
      </c>
      <c r="P324" s="192">
        <v>0</v>
      </c>
      <c r="Q324" s="192">
        <v>0</v>
      </c>
      <c r="R324" s="192">
        <v>0</v>
      </c>
      <c r="S324" s="192">
        <v>0</v>
      </c>
      <c r="T324" s="192">
        <v>0</v>
      </c>
      <c r="X324" s="524"/>
      <c r="Y324" s="524"/>
      <c r="Z324" s="524"/>
      <c r="AA324" s="524"/>
      <c r="AB324" s="524"/>
      <c r="AC324" s="673"/>
    </row>
    <row r="325" spans="1:29" ht="24" customHeight="1">
      <c r="A325" s="320" t="s">
        <v>1258</v>
      </c>
      <c r="B325" s="456"/>
      <c r="C325" s="320"/>
      <c r="D325" s="760" t="s">
        <v>1272</v>
      </c>
      <c r="E325" s="760"/>
      <c r="F325" s="760"/>
      <c r="G325" s="760"/>
      <c r="H325" s="760"/>
      <c r="I325" s="760"/>
      <c r="J325" s="760"/>
      <c r="K325" s="760"/>
      <c r="L325" s="265">
        <v>0</v>
      </c>
      <c r="M325" s="265">
        <v>204299</v>
      </c>
      <c r="N325" s="195">
        <v>0</v>
      </c>
      <c r="O325" s="195">
        <f>88128+117811+60138</f>
        <v>266077</v>
      </c>
      <c r="P325" s="192">
        <v>0</v>
      </c>
      <c r="Q325" s="192">
        <v>0</v>
      </c>
      <c r="R325" s="192">
        <v>0</v>
      </c>
      <c r="S325" s="192">
        <v>0</v>
      </c>
      <c r="T325" s="192">
        <v>0</v>
      </c>
      <c r="X325" s="222"/>
      <c r="Y325" s="222"/>
      <c r="Z325" s="222"/>
      <c r="AA325" s="222"/>
      <c r="AB325" s="222"/>
    </row>
    <row r="326" spans="1:29" ht="24" customHeight="1">
      <c r="A326" s="320" t="s">
        <v>1262</v>
      </c>
      <c r="B326" s="458"/>
      <c r="C326" s="458"/>
      <c r="D326" s="760" t="s">
        <v>1273</v>
      </c>
      <c r="E326" s="760"/>
      <c r="F326" s="760"/>
      <c r="G326" s="760"/>
      <c r="H326" s="760"/>
      <c r="I326" s="760"/>
      <c r="J326" s="760"/>
      <c r="K326" s="760"/>
      <c r="L326" s="265">
        <v>0</v>
      </c>
      <c r="M326" s="265">
        <v>0</v>
      </c>
      <c r="N326" s="195">
        <v>40000</v>
      </c>
      <c r="O326" s="195">
        <v>10000</v>
      </c>
      <c r="P326" s="192">
        <v>30000</v>
      </c>
      <c r="Q326" s="192">
        <v>0</v>
      </c>
      <c r="R326" s="192">
        <v>0</v>
      </c>
      <c r="S326" s="192">
        <v>0</v>
      </c>
      <c r="T326" s="192">
        <v>0</v>
      </c>
      <c r="X326" s="203"/>
      <c r="Y326" s="203"/>
      <c r="Z326" s="203"/>
      <c r="AA326" s="203"/>
      <c r="AB326" s="203"/>
      <c r="AC326" s="203"/>
    </row>
    <row r="327" spans="1:29" ht="24" customHeight="1">
      <c r="A327" s="320" t="s">
        <v>1402</v>
      </c>
      <c r="B327" s="579"/>
      <c r="C327" s="579"/>
      <c r="D327" s="760" t="s">
        <v>1473</v>
      </c>
      <c r="E327" s="760"/>
      <c r="F327" s="760"/>
      <c r="G327" s="760"/>
      <c r="H327" s="760"/>
      <c r="I327" s="760"/>
      <c r="J327" s="760"/>
      <c r="K327" s="760"/>
      <c r="L327" s="265">
        <v>0</v>
      </c>
      <c r="M327" s="265">
        <v>0</v>
      </c>
      <c r="N327" s="195">
        <v>0</v>
      </c>
      <c r="O327" s="195">
        <f>ROUND(23432*0.75,0)</f>
        <v>17574</v>
      </c>
      <c r="P327" s="192">
        <v>0</v>
      </c>
      <c r="Q327" s="192">
        <v>0</v>
      </c>
      <c r="R327" s="192">
        <v>0</v>
      </c>
      <c r="S327" s="192">
        <v>0</v>
      </c>
      <c r="T327" s="192">
        <v>0</v>
      </c>
    </row>
    <row r="328" spans="1:29" ht="24" customHeight="1">
      <c r="A328" s="320" t="s">
        <v>284</v>
      </c>
      <c r="B328" s="321"/>
      <c r="C328" s="321"/>
      <c r="D328" s="746" t="s">
        <v>6</v>
      </c>
      <c r="E328" s="746"/>
      <c r="F328" s="746"/>
      <c r="G328" s="746"/>
      <c r="H328" s="746"/>
      <c r="I328" s="746"/>
      <c r="J328" s="746"/>
      <c r="K328" s="746"/>
      <c r="L328" s="265">
        <v>3368</v>
      </c>
      <c r="M328" s="265">
        <v>3417</v>
      </c>
      <c r="N328" s="195">
        <v>3000</v>
      </c>
      <c r="O328" s="195">
        <v>2050</v>
      </c>
      <c r="P328" s="192">
        <v>500</v>
      </c>
      <c r="Q328" s="192">
        <v>500</v>
      </c>
      <c r="R328" s="192">
        <v>500</v>
      </c>
      <c r="S328" s="192">
        <v>500</v>
      </c>
      <c r="T328" s="192">
        <v>500</v>
      </c>
    </row>
    <row r="329" spans="1:29" ht="24" customHeight="1">
      <c r="A329" s="320" t="s">
        <v>1067</v>
      </c>
      <c r="B329" s="255"/>
      <c r="C329" s="255"/>
      <c r="D329" s="320" t="s">
        <v>64</v>
      </c>
      <c r="E329" s="255"/>
      <c r="F329" s="255"/>
      <c r="G329" s="255"/>
      <c r="H329" s="255"/>
      <c r="I329" s="255"/>
      <c r="J329" s="255"/>
      <c r="K329" s="255"/>
      <c r="L329" s="265">
        <v>257</v>
      </c>
      <c r="M329" s="265">
        <v>110</v>
      </c>
      <c r="N329" s="195">
        <v>0</v>
      </c>
      <c r="O329" s="195">
        <v>0</v>
      </c>
      <c r="P329" s="192">
        <v>0</v>
      </c>
      <c r="Q329" s="192">
        <v>0</v>
      </c>
      <c r="R329" s="192">
        <v>0</v>
      </c>
      <c r="S329" s="192">
        <v>0</v>
      </c>
      <c r="T329" s="192">
        <v>0</v>
      </c>
    </row>
    <row r="330" spans="1:29" ht="24" customHeight="1">
      <c r="A330" s="320" t="s">
        <v>1441</v>
      </c>
      <c r="B330" s="645"/>
      <c r="C330" s="645"/>
      <c r="D330" s="320" t="s">
        <v>285</v>
      </c>
      <c r="E330" s="646"/>
      <c r="F330" s="646"/>
      <c r="G330" s="646"/>
      <c r="H330" s="646"/>
      <c r="I330" s="646"/>
      <c r="J330" s="646"/>
      <c r="K330" s="646"/>
      <c r="L330" s="265">
        <v>0</v>
      </c>
      <c r="M330" s="265">
        <v>0</v>
      </c>
      <c r="N330" s="195">
        <v>0</v>
      </c>
      <c r="O330" s="195">
        <f>O266</f>
        <v>324</v>
      </c>
      <c r="P330" s="192">
        <v>0</v>
      </c>
      <c r="Q330" s="192">
        <v>0</v>
      </c>
      <c r="R330" s="192">
        <v>0</v>
      </c>
      <c r="S330" s="192">
        <v>0</v>
      </c>
      <c r="T330" s="192">
        <v>0</v>
      </c>
    </row>
    <row r="331" spans="1:29" ht="24" customHeight="1">
      <c r="A331" s="320" t="s">
        <v>1442</v>
      </c>
      <c r="B331" s="645"/>
      <c r="C331" s="645"/>
      <c r="D331" s="320" t="s">
        <v>1440</v>
      </c>
      <c r="E331" s="646"/>
      <c r="F331" s="646"/>
      <c r="G331" s="646"/>
      <c r="H331" s="646"/>
      <c r="I331" s="646"/>
      <c r="J331" s="646"/>
      <c r="K331" s="646"/>
      <c r="L331" s="270">
        <v>0</v>
      </c>
      <c r="M331" s="270">
        <v>0</v>
      </c>
      <c r="N331" s="202">
        <v>0</v>
      </c>
      <c r="O331" s="202">
        <f>O435</f>
        <v>6825</v>
      </c>
      <c r="P331" s="201">
        <v>0</v>
      </c>
      <c r="Q331" s="201">
        <v>0</v>
      </c>
      <c r="R331" s="201">
        <v>0</v>
      </c>
      <c r="S331" s="201">
        <v>0</v>
      </c>
      <c r="T331" s="201">
        <v>0</v>
      </c>
    </row>
    <row r="332" spans="1:29" ht="15" customHeight="1">
      <c r="A332" s="255"/>
      <c r="B332" s="255"/>
      <c r="C332" s="255"/>
      <c r="D332" s="255"/>
      <c r="E332" s="255"/>
      <c r="F332" s="255"/>
      <c r="G332" s="255"/>
      <c r="H332" s="255"/>
      <c r="I332" s="255"/>
      <c r="J332" s="255"/>
      <c r="K332" s="255"/>
      <c r="L332" s="271"/>
      <c r="M332" s="271"/>
      <c r="N332" s="204"/>
      <c r="O332" s="204"/>
      <c r="P332" s="203"/>
      <c r="Q332" s="203"/>
      <c r="R332" s="203"/>
      <c r="S332" s="203"/>
      <c r="T332" s="203"/>
    </row>
    <row r="333" spans="1:29" s="255" customFormat="1" ht="24" customHeight="1">
      <c r="K333" s="324" t="s">
        <v>595</v>
      </c>
      <c r="L333" s="273">
        <f>SUM(L321:L332)</f>
        <v>518843</v>
      </c>
      <c r="M333" s="273">
        <f t="shared" ref="M333:T333" si="103">SUM(M321:M332)</f>
        <v>815699</v>
      </c>
      <c r="N333" s="274">
        <f t="shared" si="103"/>
        <v>483000</v>
      </c>
      <c r="O333" s="274">
        <f t="shared" si="103"/>
        <v>947711</v>
      </c>
      <c r="P333" s="273">
        <f t="shared" si="103"/>
        <v>484000</v>
      </c>
      <c r="Q333" s="273">
        <f t="shared" si="103"/>
        <v>454000</v>
      </c>
      <c r="R333" s="273">
        <f t="shared" si="103"/>
        <v>454000</v>
      </c>
      <c r="S333" s="273">
        <f t="shared" si="103"/>
        <v>454000</v>
      </c>
      <c r="T333" s="273">
        <f t="shared" si="103"/>
        <v>454000</v>
      </c>
      <c r="U333" s="542"/>
    </row>
    <row r="334" spans="1:29" ht="15" customHeight="1">
      <c r="A334" s="255"/>
      <c r="B334" s="255"/>
      <c r="C334" s="255"/>
      <c r="D334" s="255"/>
      <c r="E334" s="255"/>
      <c r="F334" s="255"/>
      <c r="G334" s="255"/>
      <c r="H334" s="255"/>
      <c r="I334" s="255"/>
      <c r="J334" s="255"/>
      <c r="K334" s="255"/>
      <c r="L334" s="273"/>
      <c r="M334" s="273"/>
      <c r="N334" s="207"/>
      <c r="O334" s="207"/>
      <c r="P334" s="206"/>
      <c r="Q334" s="206"/>
      <c r="R334" s="206"/>
      <c r="S334" s="206"/>
      <c r="T334" s="206"/>
    </row>
    <row r="335" spans="1:29" ht="24" customHeight="1">
      <c r="A335" s="320" t="s">
        <v>1056</v>
      </c>
      <c r="B335" s="321"/>
      <c r="C335" s="321"/>
      <c r="D335" s="320" t="s">
        <v>1057</v>
      </c>
      <c r="E335" s="321"/>
      <c r="F335" s="321"/>
      <c r="G335" s="323"/>
      <c r="H335" s="323"/>
      <c r="I335" s="323"/>
      <c r="J335" s="323"/>
      <c r="K335" s="323"/>
      <c r="L335" s="281">
        <v>7500</v>
      </c>
      <c r="M335" s="281">
        <v>7750</v>
      </c>
      <c r="N335" s="225">
        <v>7500</v>
      </c>
      <c r="O335" s="225">
        <v>7500</v>
      </c>
      <c r="P335" s="217">
        <v>7500</v>
      </c>
      <c r="Q335" s="217">
        <v>7500</v>
      </c>
      <c r="R335" s="217">
        <v>7500</v>
      </c>
      <c r="S335" s="217">
        <v>0</v>
      </c>
      <c r="T335" s="217">
        <v>0</v>
      </c>
      <c r="V335" s="187"/>
    </row>
    <row r="336" spans="1:29" ht="24" customHeight="1">
      <c r="A336" s="320" t="s">
        <v>1265</v>
      </c>
      <c r="B336" s="459"/>
      <c r="C336" s="459"/>
      <c r="D336" s="320" t="s">
        <v>1266</v>
      </c>
      <c r="E336" s="459"/>
      <c r="F336" s="459"/>
      <c r="G336" s="323"/>
      <c r="H336" s="323"/>
      <c r="I336" s="323"/>
      <c r="J336" s="323"/>
      <c r="K336" s="323"/>
      <c r="L336" s="281">
        <v>0</v>
      </c>
      <c r="M336" s="281">
        <v>0</v>
      </c>
      <c r="N336" s="225">
        <v>103500</v>
      </c>
      <c r="O336" s="225">
        <v>103500</v>
      </c>
      <c r="P336" s="188">
        <f>ROUND(O336*1.06,0)</f>
        <v>109710</v>
      </c>
      <c r="Q336" s="188">
        <f>ROUND(P336*1.06,0)</f>
        <v>116293</v>
      </c>
      <c r="R336" s="188">
        <f>ROUND(Q336*1.06,0)</f>
        <v>123271</v>
      </c>
      <c r="S336" s="188">
        <f>ROUND(R336*1.06,0)</f>
        <v>130667</v>
      </c>
      <c r="T336" s="188">
        <f>ROUND(S336*1.06,0)</f>
        <v>138507</v>
      </c>
      <c r="V336" s="187"/>
    </row>
    <row r="337" spans="1:29" ht="24" customHeight="1">
      <c r="A337" s="320" t="s">
        <v>1462</v>
      </c>
      <c r="B337" s="323"/>
      <c r="C337" s="323"/>
      <c r="D337" s="320" t="s">
        <v>1461</v>
      </c>
      <c r="E337" s="323"/>
      <c r="F337" s="323"/>
      <c r="G337" s="323"/>
      <c r="H337" s="323"/>
      <c r="I337" s="323"/>
      <c r="J337" s="323"/>
      <c r="K337" s="323"/>
      <c r="L337" s="265">
        <v>0</v>
      </c>
      <c r="M337" s="265">
        <v>0</v>
      </c>
      <c r="N337" s="195">
        <v>0</v>
      </c>
      <c r="O337" s="195">
        <f>26333-459</f>
        <v>25874</v>
      </c>
      <c r="P337" s="192">
        <v>0</v>
      </c>
      <c r="Q337" s="192">
        <v>0</v>
      </c>
      <c r="R337" s="192">
        <v>0</v>
      </c>
      <c r="S337" s="192">
        <v>0</v>
      </c>
      <c r="T337" s="192">
        <v>0</v>
      </c>
      <c r="V337" s="187"/>
    </row>
    <row r="338" spans="1:29" ht="24" customHeight="1">
      <c r="A338" s="320" t="s">
        <v>286</v>
      </c>
      <c r="B338" s="321"/>
      <c r="C338" s="321"/>
      <c r="D338" s="320" t="s">
        <v>287</v>
      </c>
      <c r="E338" s="427"/>
      <c r="F338" s="427"/>
      <c r="G338" s="427"/>
      <c r="H338" s="427"/>
      <c r="I338" s="427"/>
      <c r="J338" s="427"/>
      <c r="K338" s="427"/>
      <c r="L338" s="265">
        <v>58875</v>
      </c>
      <c r="M338" s="265">
        <v>74070</v>
      </c>
      <c r="N338" s="195">
        <v>132300</v>
      </c>
      <c r="O338" s="195">
        <v>132300</v>
      </c>
      <c r="P338" s="192">
        <v>150000</v>
      </c>
      <c r="Q338" s="192">
        <v>150000</v>
      </c>
      <c r="R338" s="192">
        <v>150000</v>
      </c>
      <c r="S338" s="192">
        <v>150000</v>
      </c>
      <c r="T338" s="192">
        <v>150000</v>
      </c>
      <c r="V338" s="190"/>
    </row>
    <row r="339" spans="1:29" ht="24" customHeight="1">
      <c r="A339" s="320" t="s">
        <v>288</v>
      </c>
      <c r="B339" s="321"/>
      <c r="C339" s="321"/>
      <c r="D339" s="320" t="s">
        <v>289</v>
      </c>
      <c r="E339" s="321"/>
      <c r="F339" s="321"/>
      <c r="G339" s="321"/>
      <c r="H339" s="321"/>
      <c r="I339" s="321"/>
      <c r="J339" s="321"/>
      <c r="K339" s="321"/>
      <c r="L339" s="265">
        <v>15943</v>
      </c>
      <c r="M339" s="265">
        <v>5708</v>
      </c>
      <c r="N339" s="195">
        <v>15000</v>
      </c>
      <c r="O339" s="195">
        <v>15000</v>
      </c>
      <c r="P339" s="192">
        <v>15000</v>
      </c>
      <c r="Q339" s="192">
        <v>15000</v>
      </c>
      <c r="R339" s="192">
        <v>15000</v>
      </c>
      <c r="S339" s="192">
        <v>15000</v>
      </c>
      <c r="T339" s="192">
        <v>15000</v>
      </c>
      <c r="U339" s="397"/>
      <c r="V339" s="187"/>
    </row>
    <row r="340" spans="1:29" ht="24" customHeight="1">
      <c r="A340" s="320" t="s">
        <v>290</v>
      </c>
      <c r="B340" s="321"/>
      <c r="C340" s="321"/>
      <c r="D340" s="320" t="s">
        <v>291</v>
      </c>
      <c r="E340" s="321"/>
      <c r="F340" s="321"/>
      <c r="G340" s="321"/>
      <c r="H340" s="321"/>
      <c r="I340" s="321"/>
      <c r="J340" s="321"/>
      <c r="K340" s="321"/>
      <c r="L340" s="265">
        <v>47007</v>
      </c>
      <c r="M340" s="265">
        <v>0</v>
      </c>
      <c r="N340" s="195">
        <v>0</v>
      </c>
      <c r="O340" s="195">
        <v>0</v>
      </c>
      <c r="P340" s="192">
        <v>0</v>
      </c>
      <c r="Q340" s="192">
        <v>0</v>
      </c>
      <c r="R340" s="192">
        <v>0</v>
      </c>
      <c r="S340" s="192">
        <v>0</v>
      </c>
      <c r="T340" s="192">
        <v>0</v>
      </c>
      <c r="X340" s="764"/>
      <c r="Y340" s="764"/>
      <c r="Z340" s="764"/>
      <c r="AA340" s="764"/>
      <c r="AB340" s="764"/>
    </row>
    <row r="341" spans="1:29" ht="24" customHeight="1">
      <c r="A341" s="320" t="s">
        <v>292</v>
      </c>
      <c r="B341" s="321"/>
      <c r="C341" s="321"/>
      <c r="D341" s="320" t="s">
        <v>293</v>
      </c>
      <c r="E341" s="321"/>
      <c r="F341" s="321"/>
      <c r="G341" s="321"/>
      <c r="H341" s="321"/>
      <c r="I341" s="321"/>
      <c r="J341" s="321"/>
      <c r="K341" s="321"/>
      <c r="L341" s="262">
        <v>10621</v>
      </c>
      <c r="M341" s="262">
        <v>12088</v>
      </c>
      <c r="N341" s="186">
        <v>14109</v>
      </c>
      <c r="O341" s="186">
        <v>14109</v>
      </c>
      <c r="P341" s="185">
        <v>19000</v>
      </c>
      <c r="Q341" s="185">
        <v>19000</v>
      </c>
      <c r="R341" s="185">
        <v>19000</v>
      </c>
      <c r="S341" s="185">
        <v>19000</v>
      </c>
      <c r="T341" s="185">
        <v>19000</v>
      </c>
    </row>
    <row r="342" spans="1:29" ht="24" customHeight="1">
      <c r="A342" s="320" t="s">
        <v>294</v>
      </c>
      <c r="B342" s="321"/>
      <c r="C342" s="321"/>
      <c r="D342" s="320" t="s">
        <v>295</v>
      </c>
      <c r="E342" s="693"/>
      <c r="F342" s="693"/>
      <c r="G342" s="693"/>
      <c r="H342" s="693"/>
      <c r="I342" s="693"/>
      <c r="J342" s="693"/>
      <c r="K342" s="693"/>
      <c r="L342" s="262">
        <v>10327</v>
      </c>
      <c r="M342" s="262">
        <v>15751</v>
      </c>
      <c r="N342" s="186">
        <v>17303</v>
      </c>
      <c r="O342" s="186">
        <v>17303</v>
      </c>
      <c r="P342" s="185">
        <v>19000</v>
      </c>
      <c r="Q342" s="185">
        <v>19000</v>
      </c>
      <c r="R342" s="185">
        <v>19000</v>
      </c>
      <c r="S342" s="185">
        <v>19000</v>
      </c>
      <c r="T342" s="185">
        <v>19000</v>
      </c>
      <c r="X342" s="524"/>
      <c r="Y342" s="524"/>
      <c r="Z342" s="524"/>
      <c r="AA342" s="524"/>
      <c r="AB342" s="524"/>
      <c r="AC342" s="673"/>
    </row>
    <row r="343" spans="1:29" ht="24" customHeight="1">
      <c r="A343" s="320" t="s">
        <v>1081</v>
      </c>
      <c r="B343" s="321"/>
      <c r="C343" s="321"/>
      <c r="D343" s="320" t="s">
        <v>1082</v>
      </c>
      <c r="E343" s="693"/>
      <c r="F343" s="693"/>
      <c r="G343" s="693"/>
      <c r="H343" s="693"/>
      <c r="I343" s="693"/>
      <c r="J343" s="693"/>
      <c r="K343" s="693"/>
      <c r="L343" s="265">
        <v>0</v>
      </c>
      <c r="M343" s="265">
        <v>0</v>
      </c>
      <c r="N343" s="195">
        <v>75000</v>
      </c>
      <c r="O343" s="195">
        <f>ROUND(150000*0.15,0)</f>
        <v>22500</v>
      </c>
      <c r="P343" s="192">
        <f>150000-O343</f>
        <v>127500</v>
      </c>
      <c r="Q343" s="192">
        <v>0</v>
      </c>
      <c r="R343" s="192">
        <v>0</v>
      </c>
      <c r="S343" s="192">
        <v>0</v>
      </c>
      <c r="T343" s="192">
        <v>0</v>
      </c>
      <c r="X343" s="222"/>
      <c r="Y343" s="222"/>
      <c r="Z343" s="222"/>
      <c r="AA343" s="222"/>
      <c r="AB343" s="222"/>
    </row>
    <row r="344" spans="1:29" ht="24" customHeight="1">
      <c r="A344" s="320" t="s">
        <v>1201</v>
      </c>
      <c r="B344" s="415"/>
      <c r="C344" s="415"/>
      <c r="D344" s="320" t="s">
        <v>1202</v>
      </c>
      <c r="E344" s="693"/>
      <c r="F344" s="693"/>
      <c r="G344" s="693"/>
      <c r="H344" s="693"/>
      <c r="I344" s="693"/>
      <c r="J344" s="693"/>
      <c r="K344" s="693"/>
      <c r="L344" s="265">
        <v>0</v>
      </c>
      <c r="M344" s="265">
        <v>0</v>
      </c>
      <c r="N344" s="195">
        <v>50000</v>
      </c>
      <c r="O344" s="195">
        <v>0</v>
      </c>
      <c r="P344" s="192">
        <v>50000</v>
      </c>
      <c r="Q344" s="192">
        <v>0</v>
      </c>
      <c r="R344" s="192">
        <v>0</v>
      </c>
      <c r="S344" s="192">
        <v>0</v>
      </c>
      <c r="T344" s="192">
        <v>0</v>
      </c>
      <c r="X344" s="203"/>
      <c r="Y344" s="203"/>
      <c r="Z344" s="203"/>
      <c r="AA344" s="203"/>
      <c r="AB344" s="203"/>
      <c r="AC344" s="203"/>
    </row>
    <row r="345" spans="1:29" ht="24" customHeight="1">
      <c r="A345" s="320" t="s">
        <v>1083</v>
      </c>
      <c r="B345" s="321"/>
      <c r="C345" s="321"/>
      <c r="D345" s="322" t="s">
        <v>1178</v>
      </c>
      <c r="E345" s="693"/>
      <c r="F345" s="693"/>
      <c r="G345" s="693"/>
      <c r="H345" s="693"/>
      <c r="I345" s="693"/>
      <c r="J345" s="693"/>
      <c r="K345" s="693"/>
      <c r="L345" s="265">
        <v>0</v>
      </c>
      <c r="M345" s="265">
        <v>193042</v>
      </c>
      <c r="N345" s="195">
        <v>275000</v>
      </c>
      <c r="O345" s="195">
        <v>275000</v>
      </c>
      <c r="P345" s="192">
        <f t="shared" ref="P345:Q345" si="104">250000+50000</f>
        <v>300000</v>
      </c>
      <c r="Q345" s="192">
        <f t="shared" si="104"/>
        <v>300000</v>
      </c>
      <c r="R345" s="192">
        <v>200000</v>
      </c>
      <c r="S345" s="192">
        <v>200000</v>
      </c>
      <c r="T345" s="192">
        <f>88738-13968</f>
        <v>74770</v>
      </c>
    </row>
    <row r="346" spans="1:29" ht="24" customHeight="1">
      <c r="A346" s="320" t="s">
        <v>296</v>
      </c>
      <c r="B346" s="323"/>
      <c r="C346" s="323"/>
      <c r="D346" s="320" t="s">
        <v>297</v>
      </c>
      <c r="E346" s="323"/>
      <c r="F346" s="323"/>
      <c r="G346" s="323"/>
      <c r="H346" s="323"/>
      <c r="I346" s="323"/>
      <c r="J346" s="323"/>
      <c r="K346" s="323"/>
      <c r="L346" s="265">
        <v>24271</v>
      </c>
      <c r="M346" s="265">
        <v>312552</v>
      </c>
      <c r="N346" s="195">
        <v>0</v>
      </c>
      <c r="O346" s="195">
        <f>18384+126875</f>
        <v>145259</v>
      </c>
      <c r="P346" s="192">
        <v>0</v>
      </c>
      <c r="Q346" s="192">
        <v>0</v>
      </c>
      <c r="R346" s="192">
        <v>0</v>
      </c>
      <c r="S346" s="192">
        <v>0</v>
      </c>
      <c r="T346" s="192">
        <v>0</v>
      </c>
      <c r="V346" s="187"/>
    </row>
    <row r="347" spans="1:29" ht="24" customHeight="1">
      <c r="A347" s="320" t="s">
        <v>298</v>
      </c>
      <c r="B347" s="323"/>
      <c r="C347" s="323"/>
      <c r="D347" s="320" t="s">
        <v>299</v>
      </c>
      <c r="E347" s="323"/>
      <c r="F347" s="323"/>
      <c r="G347" s="323"/>
      <c r="H347" s="323"/>
      <c r="I347" s="323"/>
      <c r="J347" s="323"/>
      <c r="K347" s="323"/>
      <c r="L347" s="265">
        <v>30000</v>
      </c>
      <c r="M347" s="265">
        <v>169890</v>
      </c>
      <c r="N347" s="195">
        <v>0</v>
      </c>
      <c r="O347" s="195">
        <v>73450</v>
      </c>
      <c r="P347" s="192">
        <v>0</v>
      </c>
      <c r="Q347" s="192">
        <v>0</v>
      </c>
      <c r="R347" s="192">
        <v>0</v>
      </c>
      <c r="S347" s="192">
        <v>0</v>
      </c>
      <c r="T347" s="192">
        <v>0</v>
      </c>
      <c r="V347" s="187"/>
    </row>
    <row r="348" spans="1:29" ht="24" customHeight="1">
      <c r="A348" s="320" t="s">
        <v>300</v>
      </c>
      <c r="B348" s="323"/>
      <c r="C348" s="323"/>
      <c r="D348" s="320" t="s">
        <v>301</v>
      </c>
      <c r="E348" s="323"/>
      <c r="F348" s="323"/>
      <c r="G348" s="323"/>
      <c r="H348" s="323"/>
      <c r="I348" s="323"/>
      <c r="J348" s="323"/>
      <c r="K348" s="323"/>
      <c r="L348" s="262">
        <v>76652</v>
      </c>
      <c r="M348" s="262">
        <v>121900</v>
      </c>
      <c r="N348" s="186">
        <v>73787</v>
      </c>
      <c r="O348" s="186">
        <f>ROUND(6148.9*12,0)</f>
        <v>73787</v>
      </c>
      <c r="P348" s="185">
        <f t="shared" ref="P348:T348" si="105">ROUND(6148.9*12,0)</f>
        <v>73787</v>
      </c>
      <c r="Q348" s="185">
        <f t="shared" si="105"/>
        <v>73787</v>
      </c>
      <c r="R348" s="185">
        <f t="shared" si="105"/>
        <v>73787</v>
      </c>
      <c r="S348" s="185">
        <f t="shared" si="105"/>
        <v>73787</v>
      </c>
      <c r="T348" s="185">
        <f t="shared" si="105"/>
        <v>73787</v>
      </c>
      <c r="U348" s="394"/>
      <c r="V348" s="235"/>
      <c r="W348" s="211"/>
    </row>
    <row r="349" spans="1:29" ht="24" customHeight="1">
      <c r="A349" s="320" t="s">
        <v>1084</v>
      </c>
      <c r="B349" s="323"/>
      <c r="C349" s="323"/>
      <c r="D349" s="320" t="s">
        <v>1085</v>
      </c>
      <c r="E349" s="323"/>
      <c r="F349" s="323"/>
      <c r="G349" s="323"/>
      <c r="H349" s="323"/>
      <c r="I349" s="323"/>
      <c r="J349" s="323"/>
      <c r="K349" s="323"/>
      <c r="L349" s="269">
        <v>0</v>
      </c>
      <c r="M349" s="269">
        <v>35000</v>
      </c>
      <c r="N349" s="212">
        <v>100000</v>
      </c>
      <c r="O349" s="212">
        <f>23432+72000</f>
        <v>95432</v>
      </c>
      <c r="P349" s="200">
        <v>0</v>
      </c>
      <c r="Q349" s="200">
        <v>0</v>
      </c>
      <c r="R349" s="200">
        <v>0</v>
      </c>
      <c r="S349" s="200">
        <v>0</v>
      </c>
      <c r="T349" s="200">
        <v>0</v>
      </c>
      <c r="U349" s="394"/>
      <c r="V349" s="235"/>
      <c r="W349" s="211"/>
    </row>
    <row r="350" spans="1:29" ht="15" customHeight="1">
      <c r="A350" s="320"/>
      <c r="B350" s="255"/>
      <c r="C350" s="255"/>
      <c r="D350" s="320"/>
      <c r="E350" s="255"/>
      <c r="F350" s="255"/>
      <c r="G350" s="255"/>
      <c r="H350" s="255"/>
      <c r="I350" s="255"/>
      <c r="J350" s="255"/>
      <c r="K350" s="255"/>
      <c r="L350" s="262"/>
      <c r="M350" s="262"/>
      <c r="N350" s="186"/>
      <c r="O350" s="186"/>
      <c r="P350" s="185"/>
      <c r="Q350" s="185"/>
      <c r="R350" s="185"/>
      <c r="S350" s="185"/>
      <c r="T350" s="185"/>
    </row>
    <row r="351" spans="1:29" s="255" customFormat="1" ht="24" customHeight="1">
      <c r="K351" s="324" t="s">
        <v>598</v>
      </c>
      <c r="L351" s="290">
        <f t="shared" ref="L351" si="106">SUM(L335:L350)</f>
        <v>281196</v>
      </c>
      <c r="M351" s="290">
        <f t="shared" ref="M351:T351" si="107">SUM(M335:M350)</f>
        <v>947751</v>
      </c>
      <c r="N351" s="291">
        <f t="shared" si="107"/>
        <v>863499</v>
      </c>
      <c r="O351" s="291">
        <f t="shared" ref="O351" si="108">SUM(O335:O350)</f>
        <v>1001014</v>
      </c>
      <c r="P351" s="290">
        <f t="shared" ref="P351:S351" si="109">SUM(P335:P350)</f>
        <v>871497</v>
      </c>
      <c r="Q351" s="290">
        <f t="shared" si="109"/>
        <v>700580</v>
      </c>
      <c r="R351" s="290">
        <f t="shared" si="109"/>
        <v>607558</v>
      </c>
      <c r="S351" s="290">
        <f t="shared" si="109"/>
        <v>607454</v>
      </c>
      <c r="T351" s="290">
        <f t="shared" si="107"/>
        <v>490064</v>
      </c>
      <c r="U351" s="542"/>
    </row>
    <row r="352" spans="1:29" s="255" customFormat="1" ht="15" customHeight="1">
      <c r="L352" s="290"/>
      <c r="M352" s="290"/>
      <c r="N352" s="291"/>
      <c r="O352" s="291"/>
      <c r="P352" s="290"/>
      <c r="Q352" s="290"/>
      <c r="R352" s="290"/>
      <c r="S352" s="290"/>
      <c r="T352" s="290"/>
      <c r="U352" s="542"/>
    </row>
    <row r="353" spans="1:22" s="255" customFormat="1" ht="24" customHeight="1">
      <c r="K353" s="324" t="s">
        <v>599</v>
      </c>
      <c r="L353" s="290">
        <f t="shared" ref="L353:T353" si="110">L333-L351</f>
        <v>237647</v>
      </c>
      <c r="M353" s="290">
        <f t="shared" si="110"/>
        <v>-132052</v>
      </c>
      <c r="N353" s="291">
        <f t="shared" si="110"/>
        <v>-380499</v>
      </c>
      <c r="O353" s="291">
        <f t="shared" si="110"/>
        <v>-53303</v>
      </c>
      <c r="P353" s="290">
        <f t="shared" si="110"/>
        <v>-387497</v>
      </c>
      <c r="Q353" s="290">
        <f t="shared" si="110"/>
        <v>-246580</v>
      </c>
      <c r="R353" s="290">
        <f t="shared" si="110"/>
        <v>-153558</v>
      </c>
      <c r="S353" s="290">
        <f t="shared" si="110"/>
        <v>-153454</v>
      </c>
      <c r="T353" s="290">
        <f t="shared" si="110"/>
        <v>-36064</v>
      </c>
      <c r="U353" s="542"/>
    </row>
    <row r="354" spans="1:22" s="255" customFormat="1" ht="15" customHeight="1">
      <c r="L354" s="290"/>
      <c r="M354" s="290"/>
      <c r="N354" s="291"/>
      <c r="O354" s="291"/>
      <c r="P354" s="290"/>
      <c r="Q354" s="290"/>
      <c r="R354" s="290"/>
      <c r="S354" s="290"/>
      <c r="T354" s="290"/>
      <c r="U354" s="542"/>
    </row>
    <row r="355" spans="1:22" s="255" customFormat="1" ht="24" customHeight="1">
      <c r="K355" s="329" t="s">
        <v>601</v>
      </c>
      <c r="L355" s="290">
        <v>1162506</v>
      </c>
      <c r="M355" s="290">
        <v>1030456</v>
      </c>
      <c r="N355" s="291">
        <v>620347</v>
      </c>
      <c r="O355" s="291">
        <f>M355+O353</f>
        <v>977153</v>
      </c>
      <c r="P355" s="290">
        <f>O355+P353</f>
        <v>589656</v>
      </c>
      <c r="Q355" s="290">
        <f>P355+Q353</f>
        <v>343076</v>
      </c>
      <c r="R355" s="290">
        <f>Q355+R353</f>
        <v>189518</v>
      </c>
      <c r="S355" s="290">
        <f>R355+S353</f>
        <v>36064</v>
      </c>
      <c r="T355" s="290">
        <f>S355+T353</f>
        <v>0</v>
      </c>
      <c r="U355" s="542"/>
    </row>
    <row r="356" spans="1:22" ht="15" customHeight="1">
      <c r="A356" s="255"/>
      <c r="B356" s="255"/>
      <c r="C356" s="255"/>
      <c r="D356" s="255"/>
      <c r="E356" s="255"/>
      <c r="F356" s="255"/>
      <c r="G356" s="255"/>
      <c r="H356" s="255"/>
      <c r="I356" s="255"/>
      <c r="J356" s="255"/>
      <c r="K356" s="255"/>
      <c r="L356" s="468"/>
      <c r="M356" s="468"/>
      <c r="N356" s="472"/>
      <c r="O356" s="472"/>
      <c r="P356" s="473"/>
      <c r="Q356" s="473"/>
      <c r="R356" s="473"/>
      <c r="S356" s="473"/>
      <c r="T356" s="473"/>
    </row>
    <row r="357" spans="1:22" ht="24" customHeight="1">
      <c r="A357" s="331" t="s">
        <v>615</v>
      </c>
      <c r="B357" s="255"/>
      <c r="C357" s="255"/>
      <c r="D357" s="255"/>
      <c r="E357" s="255"/>
      <c r="F357" s="255"/>
      <c r="G357" s="255"/>
      <c r="H357" s="255"/>
      <c r="I357" s="255"/>
      <c r="J357" s="255"/>
      <c r="K357" s="255"/>
      <c r="L357" s="468"/>
      <c r="M357" s="468"/>
      <c r="N357" s="472"/>
      <c r="O357" s="472"/>
      <c r="P357" s="473"/>
      <c r="Q357" s="473"/>
      <c r="R357" s="473"/>
      <c r="S357" s="473"/>
      <c r="T357" s="473"/>
    </row>
    <row r="358" spans="1:22" ht="15" customHeight="1">
      <c r="A358" s="255"/>
      <c r="B358" s="255"/>
      <c r="C358" s="255"/>
      <c r="D358" s="255"/>
      <c r="E358" s="255"/>
      <c r="F358" s="255"/>
      <c r="G358" s="255"/>
      <c r="H358" s="255"/>
      <c r="I358" s="255"/>
      <c r="J358" s="255"/>
      <c r="K358" s="255"/>
      <c r="L358" s="468"/>
      <c r="M358" s="468"/>
      <c r="N358" s="472"/>
      <c r="O358" s="472"/>
      <c r="P358" s="473"/>
      <c r="Q358" s="473"/>
      <c r="R358" s="473"/>
      <c r="S358" s="473"/>
      <c r="T358" s="473"/>
    </row>
    <row r="359" spans="1:22" ht="24" customHeight="1">
      <c r="A359" s="320" t="s">
        <v>302</v>
      </c>
      <c r="B359" s="321"/>
      <c r="C359" s="321"/>
      <c r="D359" s="320" t="s">
        <v>57</v>
      </c>
      <c r="E359" s="462"/>
      <c r="F359" s="462"/>
      <c r="G359" s="462"/>
      <c r="H359" s="463"/>
      <c r="I359" s="463"/>
      <c r="J359" s="463"/>
      <c r="K359" s="463"/>
      <c r="L359" s="262">
        <v>7759</v>
      </c>
      <c r="M359" s="262">
        <v>0</v>
      </c>
      <c r="N359" s="186">
        <v>0</v>
      </c>
      <c r="O359" s="186">
        <v>0</v>
      </c>
      <c r="P359" s="185">
        <v>0</v>
      </c>
      <c r="Q359" s="185">
        <v>0</v>
      </c>
      <c r="R359" s="185">
        <v>0</v>
      </c>
      <c r="S359" s="185">
        <v>0</v>
      </c>
      <c r="T359" s="185">
        <v>0</v>
      </c>
      <c r="V359" s="190"/>
    </row>
    <row r="360" spans="1:22" ht="24" customHeight="1">
      <c r="A360" s="320" t="s">
        <v>956</v>
      </c>
      <c r="B360" s="321"/>
      <c r="C360" s="321"/>
      <c r="D360" s="320" t="s">
        <v>987</v>
      </c>
      <c r="E360" s="321"/>
      <c r="F360" s="321"/>
      <c r="G360" s="321"/>
      <c r="H360" s="255"/>
      <c r="I360" s="255"/>
      <c r="J360" s="255"/>
      <c r="K360" s="255"/>
      <c r="L360" s="262">
        <v>5100</v>
      </c>
      <c r="M360" s="262">
        <v>3930</v>
      </c>
      <c r="N360" s="186">
        <v>0</v>
      </c>
      <c r="O360" s="186">
        <v>0</v>
      </c>
      <c r="P360" s="185">
        <v>0</v>
      </c>
      <c r="Q360" s="185">
        <v>0</v>
      </c>
      <c r="R360" s="185">
        <v>0</v>
      </c>
      <c r="S360" s="185">
        <v>0</v>
      </c>
      <c r="T360" s="185">
        <v>0</v>
      </c>
      <c r="V360" s="187"/>
    </row>
    <row r="361" spans="1:22" ht="24" customHeight="1">
      <c r="A361" s="320" t="s">
        <v>1013</v>
      </c>
      <c r="B361" s="321"/>
      <c r="C361" s="321"/>
      <c r="D361" s="320" t="s">
        <v>285</v>
      </c>
      <c r="E361" s="321"/>
      <c r="F361" s="321"/>
      <c r="G361" s="321"/>
      <c r="H361" s="255"/>
      <c r="I361" s="255"/>
      <c r="J361" s="255"/>
      <c r="K361" s="255"/>
      <c r="L361" s="270">
        <v>0</v>
      </c>
      <c r="M361" s="270">
        <v>571615</v>
      </c>
      <c r="N361" s="202">
        <v>0</v>
      </c>
      <c r="O361" s="202">
        <v>0</v>
      </c>
      <c r="P361" s="201">
        <f>P265</f>
        <v>0</v>
      </c>
      <c r="Q361" s="201">
        <f>Q265</f>
        <v>0</v>
      </c>
      <c r="R361" s="201">
        <f>R265</f>
        <v>0</v>
      </c>
      <c r="S361" s="201">
        <f>S265</f>
        <v>0</v>
      </c>
      <c r="T361" s="201">
        <f>T265</f>
        <v>0</v>
      </c>
      <c r="V361" s="187"/>
    </row>
    <row r="362" spans="1:22" ht="15" customHeight="1">
      <c r="A362" s="320"/>
      <c r="B362" s="321"/>
      <c r="C362" s="321"/>
      <c r="D362" s="320"/>
      <c r="E362" s="321"/>
      <c r="F362" s="321"/>
      <c r="G362" s="321"/>
      <c r="H362" s="255"/>
      <c r="I362" s="255"/>
      <c r="J362" s="255"/>
      <c r="K362" s="255"/>
      <c r="L362" s="262"/>
      <c r="M362" s="262"/>
      <c r="N362" s="186"/>
      <c r="O362" s="186"/>
      <c r="P362" s="185"/>
      <c r="Q362" s="185"/>
      <c r="R362" s="185"/>
      <c r="S362" s="185"/>
      <c r="T362" s="185"/>
    </row>
    <row r="363" spans="1:22" s="255" customFormat="1" ht="24" customHeight="1">
      <c r="K363" s="324" t="s">
        <v>595</v>
      </c>
      <c r="L363" s="273">
        <f t="shared" ref="L363" si="111">L359+L360+L361</f>
        <v>12859</v>
      </c>
      <c r="M363" s="273">
        <f t="shared" ref="M363:T363" si="112">M359+M360+M361</f>
        <v>575545</v>
      </c>
      <c r="N363" s="274">
        <f t="shared" ref="N363:O363" si="113">N359+N360+N361</f>
        <v>0</v>
      </c>
      <c r="O363" s="274">
        <f t="shared" si="113"/>
        <v>0</v>
      </c>
      <c r="P363" s="273">
        <f t="shared" si="112"/>
        <v>0</v>
      </c>
      <c r="Q363" s="273">
        <f t="shared" si="112"/>
        <v>0</v>
      </c>
      <c r="R363" s="273">
        <f t="shared" si="112"/>
        <v>0</v>
      </c>
      <c r="S363" s="273">
        <f t="shared" ref="S363" si="114">S359+S360+S361</f>
        <v>0</v>
      </c>
      <c r="T363" s="273">
        <f t="shared" si="112"/>
        <v>0</v>
      </c>
      <c r="U363" s="542"/>
    </row>
    <row r="364" spans="1:22" ht="15" customHeight="1">
      <c r="A364" s="255"/>
      <c r="B364" s="255"/>
      <c r="C364" s="255"/>
      <c r="D364" s="255"/>
      <c r="E364" s="255"/>
      <c r="F364" s="255"/>
      <c r="G364" s="255"/>
      <c r="H364" s="255"/>
      <c r="I364" s="255"/>
      <c r="J364" s="255"/>
      <c r="K364" s="324"/>
      <c r="L364" s="273"/>
      <c r="M364" s="273"/>
      <c r="N364" s="207"/>
      <c r="O364" s="207"/>
      <c r="P364" s="206"/>
      <c r="Q364" s="206"/>
      <c r="R364" s="206"/>
      <c r="S364" s="206"/>
      <c r="T364" s="206"/>
    </row>
    <row r="365" spans="1:22" ht="24" customHeight="1">
      <c r="A365" s="320" t="s">
        <v>958</v>
      </c>
      <c r="B365" s="255"/>
      <c r="C365" s="255"/>
      <c r="D365" s="255" t="s">
        <v>957</v>
      </c>
      <c r="E365" s="255"/>
      <c r="F365" s="255"/>
      <c r="G365" s="255"/>
      <c r="H365" s="255"/>
      <c r="I365" s="255"/>
      <c r="J365" s="255"/>
      <c r="K365" s="324"/>
      <c r="L365" s="295">
        <v>5100</v>
      </c>
      <c r="M365" s="295">
        <v>3930</v>
      </c>
      <c r="N365" s="237">
        <v>0</v>
      </c>
      <c r="O365" s="237">
        <v>0</v>
      </c>
      <c r="P365" s="236">
        <f t="shared" ref="P365:R365" si="115">P360</f>
        <v>0</v>
      </c>
      <c r="Q365" s="236">
        <f t="shared" si="115"/>
        <v>0</v>
      </c>
      <c r="R365" s="236">
        <f t="shared" si="115"/>
        <v>0</v>
      </c>
      <c r="S365" s="236">
        <f t="shared" ref="S365:T365" si="116">S360</f>
        <v>0</v>
      </c>
      <c r="T365" s="236">
        <f t="shared" si="116"/>
        <v>0</v>
      </c>
      <c r="V365" s="187"/>
    </row>
    <row r="366" spans="1:22" ht="15" customHeight="1">
      <c r="A366" s="320"/>
      <c r="B366" s="255"/>
      <c r="C366" s="255"/>
      <c r="D366" s="255"/>
      <c r="E366" s="255"/>
      <c r="F366" s="255"/>
      <c r="G366" s="255"/>
      <c r="H366" s="255"/>
      <c r="I366" s="255"/>
      <c r="J366" s="255"/>
      <c r="K366" s="324"/>
      <c r="L366" s="262"/>
      <c r="M366" s="262"/>
      <c r="N366" s="186"/>
      <c r="O366" s="186"/>
      <c r="P366" s="185"/>
      <c r="Q366" s="185"/>
      <c r="R366" s="185"/>
      <c r="S366" s="185"/>
      <c r="T366" s="185"/>
    </row>
    <row r="367" spans="1:22" s="255" customFormat="1" ht="24" customHeight="1">
      <c r="K367" s="324" t="s">
        <v>598</v>
      </c>
      <c r="L367" s="290">
        <f t="shared" ref="L367" si="117">L365</f>
        <v>5100</v>
      </c>
      <c r="M367" s="290">
        <f t="shared" ref="M367:T367" si="118">M365</f>
        <v>3930</v>
      </c>
      <c r="N367" s="291">
        <f t="shared" ref="N367:O367" si="119">N365</f>
        <v>0</v>
      </c>
      <c r="O367" s="291">
        <f t="shared" si="119"/>
        <v>0</v>
      </c>
      <c r="P367" s="290">
        <f t="shared" si="118"/>
        <v>0</v>
      </c>
      <c r="Q367" s="290">
        <f t="shared" si="118"/>
        <v>0</v>
      </c>
      <c r="R367" s="290">
        <f t="shared" si="118"/>
        <v>0</v>
      </c>
      <c r="S367" s="290">
        <f t="shared" ref="S367" si="120">S365</f>
        <v>0</v>
      </c>
      <c r="T367" s="290">
        <f t="shared" si="118"/>
        <v>0</v>
      </c>
      <c r="U367" s="542"/>
    </row>
    <row r="368" spans="1:22" s="255" customFormat="1" ht="15" customHeight="1">
      <c r="K368" s="324"/>
      <c r="L368" s="290"/>
      <c r="M368" s="290"/>
      <c r="N368" s="291"/>
      <c r="O368" s="291"/>
      <c r="P368" s="290"/>
      <c r="Q368" s="290"/>
      <c r="R368" s="290"/>
      <c r="S368" s="290"/>
      <c r="T368" s="290"/>
      <c r="U368" s="542"/>
    </row>
    <row r="369" spans="1:27" s="255" customFormat="1" ht="24" customHeight="1">
      <c r="K369" s="324" t="s">
        <v>599</v>
      </c>
      <c r="L369" s="290">
        <f t="shared" ref="L369" si="121">L363-L367</f>
        <v>7759</v>
      </c>
      <c r="M369" s="290">
        <f t="shared" ref="M369:T369" si="122">M363-M367</f>
        <v>571615</v>
      </c>
      <c r="N369" s="291">
        <f t="shared" ref="N369:O369" si="123">N363-N367</f>
        <v>0</v>
      </c>
      <c r="O369" s="291">
        <f t="shared" si="123"/>
        <v>0</v>
      </c>
      <c r="P369" s="290">
        <f t="shared" ref="P369:S369" si="124">P363-P367</f>
        <v>0</v>
      </c>
      <c r="Q369" s="290">
        <f t="shared" si="124"/>
        <v>0</v>
      </c>
      <c r="R369" s="290">
        <f t="shared" si="124"/>
        <v>0</v>
      </c>
      <c r="S369" s="290">
        <f t="shared" si="124"/>
        <v>0</v>
      </c>
      <c r="T369" s="290">
        <f t="shared" si="122"/>
        <v>0</v>
      </c>
      <c r="U369" s="542"/>
    </row>
    <row r="370" spans="1:27" s="255" customFormat="1" ht="15" customHeight="1">
      <c r="L370" s="290"/>
      <c r="M370" s="290"/>
      <c r="N370" s="291"/>
      <c r="O370" s="291"/>
      <c r="P370" s="290"/>
      <c r="Q370" s="290"/>
      <c r="R370" s="290"/>
      <c r="S370" s="290"/>
      <c r="T370" s="290"/>
      <c r="U370" s="542"/>
    </row>
    <row r="371" spans="1:27" s="255" customFormat="1" ht="24" customHeight="1">
      <c r="K371" s="329" t="s">
        <v>601</v>
      </c>
      <c r="L371" s="290">
        <v>-571615</v>
      </c>
      <c r="M371" s="290">
        <v>0</v>
      </c>
      <c r="N371" s="291">
        <v>0</v>
      </c>
      <c r="O371" s="291">
        <v>0</v>
      </c>
      <c r="P371" s="290">
        <v>0</v>
      </c>
      <c r="Q371" s="290">
        <v>0</v>
      </c>
      <c r="R371" s="290">
        <v>0</v>
      </c>
      <c r="S371" s="290">
        <v>0</v>
      </c>
      <c r="T371" s="290">
        <v>0</v>
      </c>
      <c r="U371" s="542"/>
    </row>
    <row r="372" spans="1:27" ht="15" customHeight="1">
      <c r="A372" s="255"/>
      <c r="B372" s="255"/>
      <c r="C372" s="255"/>
      <c r="D372" s="255"/>
      <c r="E372" s="255"/>
      <c r="F372" s="255"/>
      <c r="G372" s="255"/>
      <c r="H372" s="255"/>
      <c r="I372" s="255"/>
      <c r="J372" s="255"/>
      <c r="K372" s="255"/>
      <c r="L372" s="468"/>
      <c r="M372" s="468"/>
      <c r="N372" s="472"/>
      <c r="O372" s="472"/>
      <c r="P372" s="473"/>
      <c r="Q372" s="473"/>
      <c r="R372" s="473"/>
      <c r="S372" s="473"/>
      <c r="T372" s="473"/>
    </row>
    <row r="373" spans="1:27" ht="24" customHeight="1">
      <c r="A373" s="331" t="s">
        <v>616</v>
      </c>
      <c r="B373" s="255"/>
      <c r="C373" s="255"/>
      <c r="D373" s="255"/>
      <c r="E373" s="255"/>
      <c r="F373" s="255"/>
      <c r="G373" s="255"/>
      <c r="H373" s="255"/>
      <c r="I373" s="255"/>
      <c r="J373" s="255"/>
      <c r="K373" s="255"/>
      <c r="L373" s="318"/>
      <c r="M373" s="318"/>
      <c r="N373" s="466"/>
      <c r="O373" s="466"/>
      <c r="P373" s="467"/>
      <c r="Q373" s="467"/>
      <c r="R373" s="467"/>
      <c r="S373" s="467"/>
      <c r="T373" s="467"/>
    </row>
    <row r="374" spans="1:27" ht="15" customHeight="1">
      <c r="A374" s="255"/>
      <c r="B374" s="255"/>
      <c r="C374" s="255"/>
      <c r="D374" s="255"/>
      <c r="E374" s="255"/>
      <c r="F374" s="255"/>
      <c r="G374" s="255"/>
      <c r="H374" s="255"/>
      <c r="I374" s="255"/>
      <c r="J374" s="255"/>
      <c r="K374" s="255"/>
      <c r="L374" s="318"/>
      <c r="M374" s="318"/>
      <c r="N374" s="466"/>
      <c r="O374" s="466"/>
      <c r="P374" s="467"/>
      <c r="Q374" s="467"/>
      <c r="R374" s="467"/>
      <c r="S374" s="467"/>
      <c r="T374" s="467"/>
    </row>
    <row r="375" spans="1:27" ht="24" customHeight="1">
      <c r="A375" s="320" t="s">
        <v>1230</v>
      </c>
      <c r="B375" s="607"/>
      <c r="C375" s="607"/>
      <c r="D375" s="320" t="s">
        <v>1261</v>
      </c>
      <c r="E375" s="608"/>
      <c r="F375" s="608"/>
      <c r="G375" s="608"/>
      <c r="H375" s="608"/>
      <c r="I375" s="608"/>
      <c r="J375" s="608"/>
      <c r="K375" s="608"/>
      <c r="L375" s="285">
        <v>0</v>
      </c>
      <c r="M375" s="285">
        <v>0</v>
      </c>
      <c r="N375" s="224">
        <v>32000</v>
      </c>
      <c r="O375" s="224">
        <f>ROUND(O421*0.8,0)</f>
        <v>24000</v>
      </c>
      <c r="P375" s="223">
        <f>ROUND(P421*0.8,0)</f>
        <v>40000</v>
      </c>
      <c r="Q375" s="209">
        <v>0</v>
      </c>
      <c r="R375" s="209">
        <v>0</v>
      </c>
      <c r="S375" s="209">
        <v>0</v>
      </c>
      <c r="T375" s="209">
        <v>0</v>
      </c>
    </row>
    <row r="376" spans="1:27" ht="24" customHeight="1">
      <c r="A376" s="320" t="s">
        <v>1259</v>
      </c>
      <c r="B376" s="374"/>
      <c r="C376" s="374"/>
      <c r="D376" s="320" t="s">
        <v>1260</v>
      </c>
      <c r="E376" s="460"/>
      <c r="F376" s="460"/>
      <c r="G376" s="460"/>
      <c r="H376" s="460"/>
      <c r="I376" s="460"/>
      <c r="J376" s="460"/>
      <c r="K376" s="460"/>
      <c r="L376" s="285">
        <v>61635</v>
      </c>
      <c r="M376" s="285">
        <v>110317</v>
      </c>
      <c r="N376" s="224">
        <v>0</v>
      </c>
      <c r="O376" s="224">
        <v>0</v>
      </c>
      <c r="P376" s="192">
        <v>0</v>
      </c>
      <c r="Q376" s="192">
        <v>0</v>
      </c>
      <c r="R376" s="192">
        <v>0</v>
      </c>
      <c r="S376" s="192">
        <v>0</v>
      </c>
      <c r="T376" s="192">
        <v>0</v>
      </c>
    </row>
    <row r="377" spans="1:27" ht="24" customHeight="1">
      <c r="A377" s="320" t="s">
        <v>748</v>
      </c>
      <c r="B377" s="321"/>
      <c r="C377" s="321"/>
      <c r="D377" s="320" t="s">
        <v>1264</v>
      </c>
      <c r="E377" s="460"/>
      <c r="F377" s="460"/>
      <c r="G377" s="460"/>
      <c r="H377" s="460"/>
      <c r="I377" s="460"/>
      <c r="J377" s="460"/>
      <c r="K377" s="460"/>
      <c r="L377" s="285">
        <v>0</v>
      </c>
      <c r="M377" s="285">
        <v>34798</v>
      </c>
      <c r="N377" s="224">
        <v>0</v>
      </c>
      <c r="O377" s="224">
        <v>0</v>
      </c>
      <c r="P377" s="192">
        <v>0</v>
      </c>
      <c r="Q377" s="192">
        <v>0</v>
      </c>
      <c r="R377" s="192">
        <v>0</v>
      </c>
      <c r="S377" s="192">
        <v>0</v>
      </c>
      <c r="T377" s="192">
        <v>0</v>
      </c>
    </row>
    <row r="378" spans="1:27" ht="24" customHeight="1">
      <c r="A378" s="320" t="s">
        <v>786</v>
      </c>
      <c r="B378" s="321"/>
      <c r="C378" s="321"/>
      <c r="D378" s="320" t="s">
        <v>1310</v>
      </c>
      <c r="E378" s="511"/>
      <c r="F378" s="511"/>
      <c r="G378" s="511"/>
      <c r="H378" s="511"/>
      <c r="I378" s="511"/>
      <c r="J378" s="511"/>
      <c r="K378" s="511"/>
      <c r="L378" s="285">
        <v>0</v>
      </c>
      <c r="M378" s="285">
        <v>85724</v>
      </c>
      <c r="N378" s="224">
        <v>73960</v>
      </c>
      <c r="O378" s="224">
        <f>ROUND(O428*0.8,0)</f>
        <v>65200</v>
      </c>
      <c r="P378" s="192">
        <f>ROUND(14000*0.5,0)+ROUND(28500*0.8,2)</f>
        <v>29800</v>
      </c>
      <c r="Q378" s="192">
        <f>ROUND(142700*0.8,0)</f>
        <v>114160</v>
      </c>
      <c r="R378" s="192">
        <f>ROUND(15900*0.8,0)</f>
        <v>12720</v>
      </c>
      <c r="S378" s="192">
        <v>0</v>
      </c>
      <c r="T378" s="192">
        <v>0</v>
      </c>
      <c r="V378" s="187"/>
    </row>
    <row r="379" spans="1:27" ht="24" customHeight="1">
      <c r="A379" s="320" t="s">
        <v>1456</v>
      </c>
      <c r="B379" s="657"/>
      <c r="C379" s="657"/>
      <c r="D379" s="760" t="s">
        <v>1455</v>
      </c>
      <c r="E379" s="760"/>
      <c r="F379" s="760"/>
      <c r="G379" s="760"/>
      <c r="H379" s="760"/>
      <c r="I379" s="760"/>
      <c r="J379" s="760"/>
      <c r="K379" s="760"/>
      <c r="L379" s="265">
        <v>0</v>
      </c>
      <c r="M379" s="265">
        <v>0</v>
      </c>
      <c r="N379" s="195">
        <v>0</v>
      </c>
      <c r="O379" s="195">
        <v>0</v>
      </c>
      <c r="P379" s="192">
        <f>P417</f>
        <v>707138</v>
      </c>
      <c r="Q379" s="192">
        <v>0</v>
      </c>
      <c r="R379" s="192">
        <v>0</v>
      </c>
      <c r="S379" s="192">
        <v>0</v>
      </c>
      <c r="T379" s="192">
        <v>0</v>
      </c>
      <c r="V379" s="187"/>
    </row>
    <row r="380" spans="1:27" ht="24" customHeight="1">
      <c r="A380" s="320" t="s">
        <v>311</v>
      </c>
      <c r="B380" s="321"/>
      <c r="C380" s="321"/>
      <c r="D380" s="320" t="s">
        <v>50</v>
      </c>
      <c r="E380" s="457"/>
      <c r="F380" s="458"/>
      <c r="G380" s="323"/>
      <c r="H380" s="323"/>
      <c r="I380" s="323"/>
      <c r="J380" s="323"/>
      <c r="K380" s="323"/>
      <c r="L380" s="262">
        <v>10660</v>
      </c>
      <c r="M380" s="262">
        <v>0</v>
      </c>
      <c r="N380" s="210">
        <v>0</v>
      </c>
      <c r="O380" s="210">
        <v>0</v>
      </c>
      <c r="P380" s="209">
        <v>0</v>
      </c>
      <c r="Q380" s="209">
        <v>0</v>
      </c>
      <c r="R380" s="209">
        <v>0</v>
      </c>
      <c r="S380" s="209">
        <v>0</v>
      </c>
      <c r="T380" s="209">
        <v>0</v>
      </c>
      <c r="V380" s="761"/>
      <c r="W380" s="761"/>
      <c r="X380" s="761"/>
      <c r="Y380" s="761"/>
      <c r="Z380" s="761"/>
      <c r="AA380" s="761"/>
    </row>
    <row r="381" spans="1:27" ht="24" customHeight="1">
      <c r="A381" s="320" t="s">
        <v>313</v>
      </c>
      <c r="B381" s="321"/>
      <c r="C381" s="321"/>
      <c r="D381" s="320" t="s">
        <v>1274</v>
      </c>
      <c r="E381" s="321"/>
      <c r="F381" s="255"/>
      <c r="G381" s="255"/>
      <c r="H381" s="255"/>
      <c r="I381" s="255"/>
      <c r="J381" s="255"/>
      <c r="K381" s="255"/>
      <c r="L381" s="277">
        <v>3135</v>
      </c>
      <c r="M381" s="277">
        <v>7429</v>
      </c>
      <c r="N381" s="210">
        <v>5000</v>
      </c>
      <c r="O381" s="210">
        <v>5000</v>
      </c>
      <c r="P381" s="209">
        <v>5000</v>
      </c>
      <c r="Q381" s="209">
        <v>5000</v>
      </c>
      <c r="R381" s="209">
        <v>5000</v>
      </c>
      <c r="S381" s="209">
        <v>5000</v>
      </c>
      <c r="T381" s="209">
        <v>5000</v>
      </c>
      <c r="V381" s="488"/>
      <c r="W381" s="705"/>
      <c r="X381" s="705"/>
      <c r="Y381" s="705"/>
      <c r="Z381" s="705"/>
      <c r="AA381" s="705"/>
    </row>
    <row r="382" spans="1:27" ht="24" customHeight="1">
      <c r="A382" s="320" t="s">
        <v>986</v>
      </c>
      <c r="B382" s="321"/>
      <c r="C382" s="321"/>
      <c r="D382" s="320" t="s">
        <v>987</v>
      </c>
      <c r="E382" s="321"/>
      <c r="F382" s="255"/>
      <c r="G382" s="255"/>
      <c r="H382" s="255"/>
      <c r="I382" s="255"/>
      <c r="J382" s="255"/>
      <c r="K382" s="255"/>
      <c r="L382" s="277">
        <v>80880</v>
      </c>
      <c r="M382" s="277">
        <v>71634</v>
      </c>
      <c r="N382" s="210">
        <v>0</v>
      </c>
      <c r="O382" s="210">
        <v>0</v>
      </c>
      <c r="P382" s="209">
        <v>0</v>
      </c>
      <c r="Q382" s="209">
        <v>0</v>
      </c>
      <c r="R382" s="209">
        <v>0</v>
      </c>
      <c r="S382" s="209">
        <v>0</v>
      </c>
      <c r="T382" s="209">
        <v>0</v>
      </c>
      <c r="V382" s="706"/>
      <c r="W382" s="589"/>
      <c r="X382" s="589"/>
      <c r="Y382" s="589"/>
      <c r="Z382" s="589"/>
      <c r="AA382" s="589"/>
    </row>
    <row r="383" spans="1:27" ht="24" customHeight="1">
      <c r="A383" s="320" t="s">
        <v>1016</v>
      </c>
      <c r="B383" s="321"/>
      <c r="C383" s="321"/>
      <c r="D383" s="320" t="s">
        <v>1017</v>
      </c>
      <c r="E383" s="321"/>
      <c r="F383" s="255"/>
      <c r="G383" s="255"/>
      <c r="H383" s="255"/>
      <c r="I383" s="255"/>
      <c r="J383" s="255"/>
      <c r="K383" s="255"/>
      <c r="L383" s="277">
        <v>0</v>
      </c>
      <c r="M383" s="277">
        <v>2479</v>
      </c>
      <c r="N383" s="210">
        <v>5250</v>
      </c>
      <c r="O383" s="210">
        <v>2500</v>
      </c>
      <c r="P383" s="209">
        <v>2500</v>
      </c>
      <c r="Q383" s="209">
        <v>2500</v>
      </c>
      <c r="R383" s="209">
        <v>2500</v>
      </c>
      <c r="S383" s="209">
        <v>2500</v>
      </c>
      <c r="T383" s="209">
        <v>2500</v>
      </c>
      <c r="V383" s="706"/>
      <c r="W383" s="589"/>
      <c r="X383" s="589"/>
      <c r="Y383" s="589"/>
      <c r="Z383" s="589"/>
      <c r="AA383" s="589"/>
    </row>
    <row r="384" spans="1:27" ht="24" customHeight="1">
      <c r="A384" s="320" t="s">
        <v>314</v>
      </c>
      <c r="B384" s="255"/>
      <c r="C384" s="255"/>
      <c r="D384" s="320" t="s">
        <v>315</v>
      </c>
      <c r="E384" s="255"/>
      <c r="F384" s="255"/>
      <c r="G384" s="255"/>
      <c r="H384" s="255"/>
      <c r="I384" s="255"/>
      <c r="J384" s="255"/>
      <c r="K384" s="255"/>
      <c r="L384" s="277">
        <v>0</v>
      </c>
      <c r="M384" s="277">
        <v>2000</v>
      </c>
      <c r="N384" s="210">
        <v>10000</v>
      </c>
      <c r="O384" s="210">
        <v>10000</v>
      </c>
      <c r="P384" s="209">
        <v>10000</v>
      </c>
      <c r="Q384" s="209">
        <v>10000</v>
      </c>
      <c r="R384" s="209">
        <v>10000</v>
      </c>
      <c r="S384" s="209">
        <v>10000</v>
      </c>
      <c r="T384" s="209">
        <v>10000</v>
      </c>
      <c r="V384" s="706"/>
      <c r="W384" s="707"/>
      <c r="X384" s="707"/>
      <c r="Y384" s="707"/>
      <c r="Z384" s="707"/>
      <c r="AA384" s="707"/>
    </row>
    <row r="385" spans="1:27" ht="24" customHeight="1">
      <c r="A385" s="320" t="s">
        <v>1118</v>
      </c>
      <c r="B385" s="255"/>
      <c r="C385" s="255"/>
      <c r="D385" s="320" t="s">
        <v>1119</v>
      </c>
      <c r="E385" s="465"/>
      <c r="F385" s="465"/>
      <c r="G385" s="465"/>
      <c r="H385" s="465"/>
      <c r="I385" s="465"/>
      <c r="J385" s="465"/>
      <c r="K385" s="465"/>
      <c r="L385" s="277">
        <v>0</v>
      </c>
      <c r="M385" s="277">
        <v>684319</v>
      </c>
      <c r="N385" s="263">
        <v>680000</v>
      </c>
      <c r="O385" s="263">
        <v>680000</v>
      </c>
      <c r="P385" s="262">
        <v>680000</v>
      </c>
      <c r="Q385" s="262">
        <v>680000</v>
      </c>
      <c r="R385" s="262">
        <v>680000</v>
      </c>
      <c r="S385" s="262">
        <v>680000</v>
      </c>
      <c r="T385" s="262">
        <v>680000</v>
      </c>
      <c r="V385" s="488"/>
      <c r="W385" s="488"/>
      <c r="X385" s="488"/>
      <c r="Y385" s="488"/>
      <c r="Z385" s="488"/>
      <c r="AA385" s="488"/>
    </row>
    <row r="386" spans="1:27" ht="24" customHeight="1">
      <c r="A386" s="320" t="s">
        <v>316</v>
      </c>
      <c r="B386" s="321"/>
      <c r="C386" s="321"/>
      <c r="D386" s="746" t="s">
        <v>6</v>
      </c>
      <c r="E386" s="746"/>
      <c r="F386" s="746"/>
      <c r="G386" s="746"/>
      <c r="H386" s="746"/>
      <c r="I386" s="746"/>
      <c r="J386" s="746"/>
      <c r="K386" s="746"/>
      <c r="L386" s="265">
        <v>243</v>
      </c>
      <c r="M386" s="265">
        <v>204</v>
      </c>
      <c r="N386" s="195">
        <v>3000</v>
      </c>
      <c r="O386" s="195">
        <v>4500</v>
      </c>
      <c r="P386" s="192">
        <v>1000</v>
      </c>
      <c r="Q386" s="192">
        <v>0</v>
      </c>
      <c r="R386" s="192">
        <v>0</v>
      </c>
      <c r="S386" s="192">
        <v>0</v>
      </c>
      <c r="T386" s="192">
        <v>0</v>
      </c>
      <c r="V386" s="488"/>
      <c r="W386" s="708"/>
      <c r="X386" s="708"/>
      <c r="Y386" s="708"/>
      <c r="Z386" s="708"/>
      <c r="AA386" s="708"/>
    </row>
    <row r="387" spans="1:27" ht="24" customHeight="1">
      <c r="A387" s="320" t="s">
        <v>1403</v>
      </c>
      <c r="B387" s="594"/>
      <c r="C387" s="594"/>
      <c r="D387" s="594" t="s">
        <v>1404</v>
      </c>
      <c r="E387" s="594"/>
      <c r="F387" s="594"/>
      <c r="G387" s="594"/>
      <c r="H387" s="594"/>
      <c r="I387" s="594"/>
      <c r="J387" s="594"/>
      <c r="K387" s="594"/>
      <c r="L387" s="265">
        <v>0</v>
      </c>
      <c r="M387" s="265">
        <v>0</v>
      </c>
      <c r="N387" s="195">
        <v>0</v>
      </c>
      <c r="O387" s="195">
        <f>120000+290000</f>
        <v>410000</v>
      </c>
      <c r="P387" s="192">
        <v>0</v>
      </c>
      <c r="Q387" s="192">
        <v>0</v>
      </c>
      <c r="R387" s="192">
        <v>0</v>
      </c>
      <c r="S387" s="192">
        <v>0</v>
      </c>
      <c r="T387" s="192">
        <v>0</v>
      </c>
      <c r="V387" s="488"/>
      <c r="W387" s="709"/>
      <c r="X387" s="709"/>
      <c r="Y387" s="709"/>
      <c r="Z387" s="709"/>
      <c r="AA387" s="709"/>
    </row>
    <row r="388" spans="1:27" ht="24" customHeight="1">
      <c r="A388" s="320" t="s">
        <v>1187</v>
      </c>
      <c r="B388" s="374"/>
      <c r="C388" s="374"/>
      <c r="D388" s="624" t="s">
        <v>1188</v>
      </c>
      <c r="E388" s="624"/>
      <c r="F388" s="624"/>
      <c r="G388" s="624"/>
      <c r="H388" s="624"/>
      <c r="I388" s="624"/>
      <c r="J388" s="624"/>
      <c r="K388" s="624"/>
      <c r="L388" s="265">
        <v>0</v>
      </c>
      <c r="M388" s="265">
        <v>87932</v>
      </c>
      <c r="N388" s="195">
        <v>861890</v>
      </c>
      <c r="O388" s="195">
        <f>84708+8079+1036819</f>
        <v>1129606</v>
      </c>
      <c r="P388" s="192">
        <v>55000</v>
      </c>
      <c r="Q388" s="192">
        <v>0</v>
      </c>
      <c r="R388" s="192">
        <v>0</v>
      </c>
      <c r="S388" s="192">
        <v>0</v>
      </c>
      <c r="T388" s="192">
        <v>0</v>
      </c>
      <c r="V388" s="487"/>
      <c r="W388" s="530"/>
      <c r="X388" s="530"/>
      <c r="Y388" s="530"/>
      <c r="Z388" s="530"/>
      <c r="AA388" s="530"/>
    </row>
    <row r="389" spans="1:27" ht="24" customHeight="1">
      <c r="A389" s="320" t="s">
        <v>1184</v>
      </c>
      <c r="B389" s="321"/>
      <c r="C389" s="321"/>
      <c r="D389" s="627" t="s">
        <v>1185</v>
      </c>
      <c r="E389" s="627"/>
      <c r="F389" s="627"/>
      <c r="G389" s="627"/>
      <c r="H389" s="627"/>
      <c r="I389" s="627"/>
      <c r="J389" s="627"/>
      <c r="K389" s="627"/>
      <c r="L389" s="265">
        <v>20007</v>
      </c>
      <c r="M389" s="265">
        <v>1424</v>
      </c>
      <c r="N389" s="195">
        <v>23740</v>
      </c>
      <c r="O389" s="195">
        <f>O428-O378</f>
        <v>16300</v>
      </c>
      <c r="P389" s="192">
        <f>P428-P378</f>
        <v>12700</v>
      </c>
      <c r="Q389" s="192">
        <f>Q428-Q378</f>
        <v>294740</v>
      </c>
      <c r="R389" s="192">
        <f>R428-R378</f>
        <v>32780</v>
      </c>
      <c r="S389" s="192">
        <v>0</v>
      </c>
      <c r="T389" s="192">
        <v>0</v>
      </c>
      <c r="V389" s="487"/>
      <c r="W389" s="530"/>
      <c r="X389" s="530"/>
      <c r="Y389" s="530"/>
      <c r="Z389" s="530"/>
      <c r="AA389" s="530"/>
    </row>
    <row r="390" spans="1:27" ht="24" customHeight="1">
      <c r="A390" s="320" t="s">
        <v>1379</v>
      </c>
      <c r="B390" s="548"/>
      <c r="C390" s="548"/>
      <c r="D390" s="548" t="s">
        <v>1380</v>
      </c>
      <c r="E390" s="548"/>
      <c r="F390" s="548"/>
      <c r="G390" s="548"/>
      <c r="H390" s="548"/>
      <c r="I390" s="548"/>
      <c r="J390" s="548"/>
      <c r="K390" s="548"/>
      <c r="L390" s="265">
        <v>0</v>
      </c>
      <c r="M390" s="265">
        <v>0</v>
      </c>
      <c r="N390" s="195">
        <v>0</v>
      </c>
      <c r="O390" s="195">
        <v>11112</v>
      </c>
      <c r="P390" s="192">
        <v>0</v>
      </c>
      <c r="Q390" s="192">
        <v>0</v>
      </c>
      <c r="R390" s="192">
        <v>0</v>
      </c>
      <c r="S390" s="192">
        <v>0</v>
      </c>
      <c r="T390" s="192">
        <v>0</v>
      </c>
    </row>
    <row r="391" spans="1:27" ht="24" customHeight="1">
      <c r="A391" s="320" t="s">
        <v>317</v>
      </c>
      <c r="B391" s="595"/>
      <c r="C391" s="595"/>
      <c r="D391" s="320" t="s">
        <v>318</v>
      </c>
      <c r="E391" s="595"/>
      <c r="F391" s="595"/>
      <c r="G391" s="595"/>
      <c r="H391" s="595"/>
      <c r="I391" s="595"/>
      <c r="J391" s="595"/>
      <c r="K391" s="595"/>
      <c r="L391" s="265">
        <v>0</v>
      </c>
      <c r="M391" s="265">
        <v>0</v>
      </c>
      <c r="N391" s="195">
        <v>4750000</v>
      </c>
      <c r="O391" s="195">
        <v>4295000</v>
      </c>
      <c r="P391" s="192">
        <v>0</v>
      </c>
      <c r="Q391" s="192">
        <v>0</v>
      </c>
      <c r="R391" s="192">
        <v>0</v>
      </c>
      <c r="S391" s="192">
        <v>0</v>
      </c>
      <c r="T391" s="192">
        <v>0</v>
      </c>
      <c r="V391" s="190"/>
    </row>
    <row r="392" spans="1:27" ht="24" customHeight="1">
      <c r="A392" s="320" t="s">
        <v>1377</v>
      </c>
      <c r="B392" s="549"/>
      <c r="C392" s="549"/>
      <c r="D392" s="320" t="s">
        <v>1378</v>
      </c>
      <c r="E392" s="549"/>
      <c r="F392" s="549"/>
      <c r="G392" s="549"/>
      <c r="H392" s="549"/>
      <c r="I392" s="549"/>
      <c r="J392" s="549"/>
      <c r="K392" s="549"/>
      <c r="L392" s="265">
        <v>0</v>
      </c>
      <c r="M392" s="265">
        <v>0</v>
      </c>
      <c r="N392" s="195">
        <v>0</v>
      </c>
      <c r="O392" s="195">
        <v>49789</v>
      </c>
      <c r="P392" s="192">
        <v>0</v>
      </c>
      <c r="Q392" s="192">
        <v>0</v>
      </c>
      <c r="R392" s="192">
        <v>0</v>
      </c>
      <c r="S392" s="192">
        <v>0</v>
      </c>
      <c r="T392" s="192">
        <v>0</v>
      </c>
      <c r="V392" s="190"/>
    </row>
    <row r="393" spans="1:27" ht="24" customHeight="1">
      <c r="A393" s="320" t="s">
        <v>975</v>
      </c>
      <c r="B393" s="630"/>
      <c r="C393" s="630"/>
      <c r="D393" s="320" t="s">
        <v>1242</v>
      </c>
      <c r="E393" s="630"/>
      <c r="F393" s="630"/>
      <c r="G393" s="630"/>
      <c r="H393" s="630"/>
      <c r="I393" s="630"/>
      <c r="J393" s="630"/>
      <c r="K393" s="630"/>
      <c r="L393" s="265">
        <v>37850</v>
      </c>
      <c r="M393" s="265">
        <v>193963</v>
      </c>
      <c r="N393" s="195">
        <v>0</v>
      </c>
      <c r="O393" s="195">
        <v>0</v>
      </c>
      <c r="P393" s="192">
        <f>P425</f>
        <v>152184</v>
      </c>
      <c r="Q393" s="192">
        <v>0</v>
      </c>
      <c r="R393" s="192">
        <v>0</v>
      </c>
      <c r="S393" s="192">
        <v>0</v>
      </c>
      <c r="T393" s="192">
        <v>0</v>
      </c>
      <c r="V393" s="190"/>
    </row>
    <row r="394" spans="1:27" ht="24" customHeight="1">
      <c r="A394" s="320" t="s">
        <v>1358</v>
      </c>
      <c r="B394" s="522"/>
      <c r="C394" s="522"/>
      <c r="D394" s="320" t="s">
        <v>1359</v>
      </c>
      <c r="E394" s="522"/>
      <c r="F394" s="522"/>
      <c r="G394" s="522"/>
      <c r="H394" s="522"/>
      <c r="I394" s="522"/>
      <c r="J394" s="522"/>
      <c r="K394" s="522"/>
      <c r="L394" s="265">
        <v>0</v>
      </c>
      <c r="M394" s="265">
        <v>0</v>
      </c>
      <c r="N394" s="195">
        <v>105000</v>
      </c>
      <c r="O394" s="195">
        <v>105000</v>
      </c>
      <c r="P394" s="192">
        <f>55000+7000</f>
        <v>62000</v>
      </c>
      <c r="Q394" s="192">
        <v>64500</v>
      </c>
      <c r="R394" s="192">
        <v>64500</v>
      </c>
      <c r="S394" s="192">
        <v>64500</v>
      </c>
      <c r="T394" s="192">
        <v>64500</v>
      </c>
      <c r="V394" s="190"/>
    </row>
    <row r="395" spans="1:27" ht="24" customHeight="1">
      <c r="A395" s="320" t="s">
        <v>1357</v>
      </c>
      <c r="B395" s="521"/>
      <c r="C395" s="521"/>
      <c r="D395" s="320" t="s">
        <v>1255</v>
      </c>
      <c r="E395" s="521"/>
      <c r="F395" s="521"/>
      <c r="G395" s="521"/>
      <c r="H395" s="521"/>
      <c r="I395" s="521"/>
      <c r="J395" s="521"/>
      <c r="K395" s="521"/>
      <c r="L395" s="266">
        <v>419332</v>
      </c>
      <c r="M395" s="266">
        <v>270401</v>
      </c>
      <c r="N395" s="195">
        <v>0</v>
      </c>
      <c r="O395" s="195">
        <v>0</v>
      </c>
      <c r="P395" s="192">
        <v>0</v>
      </c>
      <c r="Q395" s="192">
        <v>0</v>
      </c>
      <c r="R395" s="192">
        <v>0</v>
      </c>
      <c r="S395" s="192">
        <v>0</v>
      </c>
      <c r="T395" s="192">
        <v>0</v>
      </c>
      <c r="V395" s="190"/>
    </row>
    <row r="396" spans="1:27" ht="24" customHeight="1">
      <c r="A396" s="320" t="s">
        <v>1433</v>
      </c>
      <c r="B396" s="515"/>
      <c r="C396" s="515"/>
      <c r="D396" s="320" t="s">
        <v>1434</v>
      </c>
      <c r="E396" s="515"/>
      <c r="F396" s="515"/>
      <c r="G396" s="515"/>
      <c r="H396" s="515"/>
      <c r="I396" s="515"/>
      <c r="J396" s="515"/>
      <c r="K396" s="515"/>
      <c r="L396" s="270">
        <v>0</v>
      </c>
      <c r="M396" s="270">
        <v>0</v>
      </c>
      <c r="N396" s="202">
        <v>0</v>
      </c>
      <c r="O396" s="202">
        <v>13500</v>
      </c>
      <c r="P396" s="201">
        <v>0</v>
      </c>
      <c r="Q396" s="201">
        <f t="shared" ref="Q396:S396" si="125">Q425</f>
        <v>0</v>
      </c>
      <c r="R396" s="201">
        <f t="shared" si="125"/>
        <v>0</v>
      </c>
      <c r="S396" s="201">
        <f t="shared" si="125"/>
        <v>0</v>
      </c>
      <c r="T396" s="201">
        <f t="shared" ref="T396" si="126">T425</f>
        <v>0</v>
      </c>
      <c r="V396" s="414"/>
    </row>
    <row r="397" spans="1:27" ht="15" customHeight="1">
      <c r="A397" s="255"/>
      <c r="B397" s="255"/>
      <c r="C397" s="255"/>
      <c r="D397" s="255"/>
      <c r="E397" s="255"/>
      <c r="F397" s="255"/>
      <c r="G397" s="255"/>
      <c r="H397" s="255"/>
      <c r="I397" s="255"/>
      <c r="J397" s="255"/>
      <c r="K397" s="255"/>
      <c r="L397" s="271"/>
      <c r="M397" s="271"/>
      <c r="N397" s="204"/>
      <c r="O397" s="204"/>
      <c r="P397" s="203"/>
      <c r="Q397" s="203"/>
      <c r="R397" s="203"/>
      <c r="S397" s="203"/>
      <c r="T397" s="203"/>
    </row>
    <row r="398" spans="1:27" s="255" customFormat="1" ht="24" customHeight="1">
      <c r="K398" s="324" t="s">
        <v>595</v>
      </c>
      <c r="L398" s="273">
        <f>SUM(L375:L397)</f>
        <v>633742</v>
      </c>
      <c r="M398" s="273">
        <f t="shared" ref="M398:T398" si="127">SUM(M375:M397)</f>
        <v>1552624</v>
      </c>
      <c r="N398" s="274">
        <f t="shared" si="127"/>
        <v>6549840</v>
      </c>
      <c r="O398" s="274">
        <f>SUM(O375:O397)</f>
        <v>6821507</v>
      </c>
      <c r="P398" s="273">
        <f t="shared" si="127"/>
        <v>1757322</v>
      </c>
      <c r="Q398" s="273">
        <f t="shared" si="127"/>
        <v>1170900</v>
      </c>
      <c r="R398" s="273">
        <f t="shared" si="127"/>
        <v>807500</v>
      </c>
      <c r="S398" s="273">
        <f t="shared" si="127"/>
        <v>762000</v>
      </c>
      <c r="T398" s="273">
        <f t="shared" si="127"/>
        <v>762000</v>
      </c>
      <c r="U398" s="542"/>
      <c r="W398" s="347"/>
      <c r="X398" s="347"/>
      <c r="Y398" s="347"/>
      <c r="Z398" s="347"/>
      <c r="AA398" s="347"/>
    </row>
    <row r="399" spans="1:27" ht="15" customHeight="1">
      <c r="A399" s="255"/>
      <c r="B399" s="255"/>
      <c r="C399" s="255"/>
      <c r="D399" s="255"/>
      <c r="E399" s="255"/>
      <c r="F399" s="255"/>
      <c r="G399" s="255"/>
      <c r="H399" s="255"/>
      <c r="I399" s="255"/>
      <c r="J399" s="255"/>
      <c r="K399" s="255"/>
      <c r="L399" s="271"/>
      <c r="M399" s="271"/>
      <c r="N399" s="204"/>
      <c r="O399" s="204"/>
      <c r="P399" s="203"/>
      <c r="Q399" s="203"/>
      <c r="R399" s="203"/>
      <c r="S399" s="203"/>
      <c r="T399" s="203"/>
    </row>
    <row r="400" spans="1:27" ht="24" customHeight="1">
      <c r="A400" s="324" t="s">
        <v>1371</v>
      </c>
      <c r="B400" s="495"/>
      <c r="C400" s="495"/>
      <c r="D400" s="495"/>
      <c r="E400" s="495"/>
      <c r="F400" s="495"/>
      <c r="G400" s="495"/>
      <c r="H400" s="495"/>
      <c r="I400" s="495"/>
      <c r="J400" s="495"/>
      <c r="K400" s="495"/>
      <c r="L400" s="271"/>
      <c r="M400" s="271"/>
      <c r="N400" s="204"/>
      <c r="O400" s="204"/>
      <c r="P400" s="203"/>
      <c r="Q400" s="203"/>
      <c r="R400" s="203"/>
      <c r="S400" s="203"/>
      <c r="T400" s="203"/>
    </row>
    <row r="401" spans="1:31" ht="24" customHeight="1">
      <c r="A401" s="452" t="s">
        <v>1245</v>
      </c>
      <c r="B401" s="452"/>
      <c r="C401" s="452"/>
      <c r="D401" s="320" t="s">
        <v>957</v>
      </c>
      <c r="E401" s="451"/>
      <c r="F401" s="451"/>
      <c r="G401" s="452"/>
      <c r="H401" s="452"/>
      <c r="I401" s="452"/>
      <c r="J401" s="452"/>
      <c r="K401" s="452"/>
      <c r="L401" s="271">
        <v>0</v>
      </c>
      <c r="M401" s="271">
        <v>2400</v>
      </c>
      <c r="N401" s="204">
        <v>0</v>
      </c>
      <c r="O401" s="204">
        <v>0</v>
      </c>
      <c r="P401" s="203">
        <v>0</v>
      </c>
      <c r="Q401" s="203">
        <v>0</v>
      </c>
      <c r="R401" s="203">
        <v>0</v>
      </c>
      <c r="S401" s="203">
        <v>0</v>
      </c>
      <c r="T401" s="203">
        <v>0</v>
      </c>
    </row>
    <row r="402" spans="1:31" ht="24" customHeight="1">
      <c r="A402" s="320" t="s">
        <v>1199</v>
      </c>
      <c r="B402" s="416"/>
      <c r="C402" s="416"/>
      <c r="D402" s="320" t="s">
        <v>791</v>
      </c>
      <c r="E402" s="416"/>
      <c r="F402" s="416"/>
      <c r="G402" s="416"/>
      <c r="H402" s="416"/>
      <c r="I402" s="416"/>
      <c r="J402" s="416"/>
      <c r="K402" s="416"/>
      <c r="L402" s="262">
        <v>0</v>
      </c>
      <c r="M402" s="262">
        <v>0</v>
      </c>
      <c r="N402" s="186">
        <v>80000</v>
      </c>
      <c r="O402" s="186">
        <v>80000</v>
      </c>
      <c r="P402" s="185">
        <f>27500+7000</f>
        <v>34500</v>
      </c>
      <c r="Q402" s="185">
        <f t="shared" ref="Q402:T402" si="128">27500+7000</f>
        <v>34500</v>
      </c>
      <c r="R402" s="185">
        <f t="shared" si="128"/>
        <v>34500</v>
      </c>
      <c r="S402" s="185">
        <f t="shared" si="128"/>
        <v>34500</v>
      </c>
      <c r="T402" s="185">
        <f t="shared" si="128"/>
        <v>34500</v>
      </c>
      <c r="V402" s="528"/>
      <c r="W402" s="488"/>
      <c r="X402" s="488"/>
      <c r="Y402" s="488"/>
      <c r="Z402" s="488"/>
      <c r="AA402" s="488"/>
      <c r="AB402" s="488"/>
      <c r="AC402" s="488"/>
      <c r="AD402" s="488"/>
    </row>
    <row r="403" spans="1:31" ht="24" customHeight="1">
      <c r="A403" s="320" t="s">
        <v>1200</v>
      </c>
      <c r="B403" s="416"/>
      <c r="C403" s="416"/>
      <c r="D403" s="320" t="s">
        <v>792</v>
      </c>
      <c r="E403" s="416"/>
      <c r="F403" s="416"/>
      <c r="G403" s="416"/>
      <c r="H403" s="416"/>
      <c r="I403" s="416"/>
      <c r="J403" s="416"/>
      <c r="K403" s="416"/>
      <c r="L403" s="262">
        <v>0</v>
      </c>
      <c r="M403" s="262">
        <v>0</v>
      </c>
      <c r="N403" s="189">
        <v>25000</v>
      </c>
      <c r="O403" s="189">
        <v>25000</v>
      </c>
      <c r="P403" s="188">
        <v>27500</v>
      </c>
      <c r="Q403" s="188">
        <v>30000</v>
      </c>
      <c r="R403" s="188">
        <v>30000</v>
      </c>
      <c r="S403" s="188">
        <v>30000</v>
      </c>
      <c r="T403" s="188">
        <v>30000</v>
      </c>
      <c r="V403" s="487"/>
      <c r="W403" s="488"/>
      <c r="X403" s="488"/>
      <c r="Y403" s="589"/>
      <c r="Z403" s="488"/>
      <c r="AA403" s="488"/>
      <c r="AB403" s="488"/>
      <c r="AC403" s="488"/>
      <c r="AD403" s="488"/>
    </row>
    <row r="404" spans="1:31" ht="24" customHeight="1">
      <c r="A404" s="533" t="s">
        <v>1116</v>
      </c>
      <c r="B404" s="323"/>
      <c r="C404" s="323"/>
      <c r="D404" s="320" t="s">
        <v>399</v>
      </c>
      <c r="E404" s="323"/>
      <c r="F404" s="323"/>
      <c r="G404" s="323"/>
      <c r="H404" s="323"/>
      <c r="I404" s="323"/>
      <c r="J404" s="323"/>
      <c r="K404" s="323"/>
      <c r="L404" s="296">
        <v>0</v>
      </c>
      <c r="M404" s="296">
        <v>2479</v>
      </c>
      <c r="N404" s="239">
        <v>5250</v>
      </c>
      <c r="O404" s="239">
        <f>O383</f>
        <v>2500</v>
      </c>
      <c r="P404" s="238">
        <f t="shared" ref="P404:T404" si="129">P383</f>
        <v>2500</v>
      </c>
      <c r="Q404" s="238">
        <f t="shared" si="129"/>
        <v>2500</v>
      </c>
      <c r="R404" s="238">
        <f t="shared" si="129"/>
        <v>2500</v>
      </c>
      <c r="S404" s="238">
        <f t="shared" si="129"/>
        <v>2500</v>
      </c>
      <c r="T404" s="238">
        <f t="shared" si="129"/>
        <v>2500</v>
      </c>
      <c r="V404" s="487"/>
      <c r="W404" s="488"/>
      <c r="X404" s="488"/>
      <c r="Y404" s="710"/>
      <c r="Z404" s="488"/>
      <c r="AA404" s="488"/>
      <c r="AB404" s="488"/>
      <c r="AC404" s="488"/>
      <c r="AD404" s="488"/>
    </row>
    <row r="405" spans="1:31" s="255" customFormat="1" ht="24" customHeight="1">
      <c r="A405" s="334"/>
      <c r="L405" s="273">
        <f t="shared" ref="L405" si="130">SUM(L401:L404)</f>
        <v>0</v>
      </c>
      <c r="M405" s="273">
        <f t="shared" ref="M405:T405" si="131">SUM(M401:M404)</f>
        <v>4879</v>
      </c>
      <c r="N405" s="274">
        <f t="shared" si="131"/>
        <v>110250</v>
      </c>
      <c r="O405" s="274">
        <f t="shared" ref="O405" si="132">SUM(O401:O404)</f>
        <v>107500</v>
      </c>
      <c r="P405" s="273">
        <f t="shared" ref="P405:S405" si="133">SUM(P401:P404)</f>
        <v>64500</v>
      </c>
      <c r="Q405" s="273">
        <f t="shared" si="133"/>
        <v>67000</v>
      </c>
      <c r="R405" s="273">
        <f t="shared" si="133"/>
        <v>67000</v>
      </c>
      <c r="S405" s="273">
        <f t="shared" si="133"/>
        <v>67000</v>
      </c>
      <c r="T405" s="273">
        <f t="shared" si="131"/>
        <v>67000</v>
      </c>
      <c r="U405" s="542"/>
      <c r="V405" s="385"/>
      <c r="W405" s="385"/>
      <c r="X405" s="385"/>
      <c r="Y405" s="385"/>
      <c r="Z405" s="385"/>
      <c r="AA405" s="385"/>
      <c r="AB405" s="385"/>
      <c r="AC405" s="385"/>
      <c r="AD405" s="385"/>
      <c r="AE405" s="697"/>
    </row>
    <row r="406" spans="1:31" ht="15" customHeight="1">
      <c r="A406" s="334"/>
      <c r="B406" s="255"/>
      <c r="C406" s="255"/>
      <c r="D406" s="255"/>
      <c r="E406" s="255"/>
      <c r="F406" s="255"/>
      <c r="G406" s="255"/>
      <c r="H406" s="255"/>
      <c r="I406" s="255"/>
      <c r="J406" s="255"/>
      <c r="K406" s="255"/>
      <c r="L406" s="273"/>
      <c r="M406" s="273"/>
      <c r="N406" s="207"/>
      <c r="O406" s="207"/>
      <c r="P406" s="206"/>
      <c r="Q406" s="206"/>
      <c r="R406" s="206"/>
      <c r="S406" s="206"/>
      <c r="T406" s="206"/>
    </row>
    <row r="407" spans="1:31" ht="24" customHeight="1">
      <c r="A407" s="324" t="s">
        <v>1046</v>
      </c>
      <c r="B407" s="255"/>
      <c r="C407" s="255"/>
      <c r="D407" s="255"/>
      <c r="E407" s="255"/>
      <c r="F407" s="255"/>
      <c r="G407" s="255"/>
      <c r="H407" s="255"/>
      <c r="I407" s="255"/>
      <c r="J407" s="255"/>
      <c r="K407" s="255"/>
      <c r="L407" s="271"/>
      <c r="M407" s="271"/>
      <c r="N407" s="204"/>
      <c r="O407" s="204"/>
      <c r="P407" s="203"/>
      <c r="Q407" s="203"/>
      <c r="R407" s="203"/>
      <c r="S407" s="203"/>
      <c r="T407" s="203"/>
    </row>
    <row r="408" spans="1:31" ht="24" customHeight="1">
      <c r="A408" s="549" t="s">
        <v>1386</v>
      </c>
      <c r="B408" s="549"/>
      <c r="C408" s="549"/>
      <c r="D408" s="320" t="s">
        <v>1351</v>
      </c>
      <c r="E408" s="548"/>
      <c r="F408" s="548"/>
      <c r="G408" s="548"/>
      <c r="H408" s="548"/>
      <c r="I408" s="323"/>
      <c r="J408" s="323"/>
      <c r="K408" s="323"/>
      <c r="L408" s="281">
        <v>0</v>
      </c>
      <c r="M408" s="281">
        <v>0</v>
      </c>
      <c r="N408" s="225">
        <v>0</v>
      </c>
      <c r="O408" s="225">
        <v>52025</v>
      </c>
      <c r="P408" s="217">
        <v>0</v>
      </c>
      <c r="Q408" s="217">
        <v>0</v>
      </c>
      <c r="R408" s="217">
        <v>0</v>
      </c>
      <c r="S408" s="217">
        <v>0</v>
      </c>
      <c r="T408" s="217">
        <v>0</v>
      </c>
      <c r="V408" s="187"/>
    </row>
    <row r="409" spans="1:31" ht="24" customHeight="1">
      <c r="A409" s="255" t="s">
        <v>988</v>
      </c>
      <c r="B409" s="255"/>
      <c r="C409" s="255"/>
      <c r="D409" s="320" t="s">
        <v>957</v>
      </c>
      <c r="E409" s="321"/>
      <c r="F409" s="321"/>
      <c r="G409" s="321"/>
      <c r="H409" s="321"/>
      <c r="I409" s="323"/>
      <c r="J409" s="323"/>
      <c r="K409" s="323"/>
      <c r="L409" s="281">
        <v>80880</v>
      </c>
      <c r="M409" s="281">
        <v>69234</v>
      </c>
      <c r="N409" s="225">
        <v>0</v>
      </c>
      <c r="O409" s="225">
        <v>0</v>
      </c>
      <c r="P409" s="217">
        <f t="shared" ref="P409:R409" si="134">P382</f>
        <v>0</v>
      </c>
      <c r="Q409" s="217">
        <f t="shared" si="134"/>
        <v>0</v>
      </c>
      <c r="R409" s="217">
        <f t="shared" si="134"/>
        <v>0</v>
      </c>
      <c r="S409" s="217">
        <f>S382</f>
        <v>0</v>
      </c>
      <c r="T409" s="217">
        <f>T382</f>
        <v>0</v>
      </c>
      <c r="V409" s="187"/>
    </row>
    <row r="410" spans="1:31" ht="24" customHeight="1">
      <c r="A410" s="320" t="s">
        <v>319</v>
      </c>
      <c r="B410" s="321"/>
      <c r="C410" s="321"/>
      <c r="D410" s="320" t="s">
        <v>10</v>
      </c>
      <c r="E410" s="321"/>
      <c r="F410" s="321"/>
      <c r="G410" s="321"/>
      <c r="H410" s="321"/>
      <c r="I410" s="323"/>
      <c r="J410" s="323"/>
      <c r="K410" s="323"/>
      <c r="L410" s="281">
        <v>94728</v>
      </c>
      <c r="M410" s="281">
        <v>0</v>
      </c>
      <c r="N410" s="225">
        <v>0</v>
      </c>
      <c r="O410" s="225">
        <v>0</v>
      </c>
      <c r="P410" s="217">
        <v>0</v>
      </c>
      <c r="Q410" s="217">
        <v>0</v>
      </c>
      <c r="R410" s="217">
        <v>0</v>
      </c>
      <c r="S410" s="217">
        <v>0</v>
      </c>
      <c r="T410" s="217">
        <v>0</v>
      </c>
      <c r="V410" s="190"/>
    </row>
    <row r="411" spans="1:31" ht="24" customHeight="1">
      <c r="A411" s="320" t="s">
        <v>1110</v>
      </c>
      <c r="B411" s="323"/>
      <c r="C411" s="323"/>
      <c r="D411" s="320" t="s">
        <v>274</v>
      </c>
      <c r="E411" s="323"/>
      <c r="F411" s="323"/>
      <c r="G411" s="323"/>
      <c r="H411" s="323"/>
      <c r="I411" s="323"/>
      <c r="J411" s="323"/>
      <c r="K411" s="323"/>
      <c r="L411" s="262">
        <v>0</v>
      </c>
      <c r="M411" s="262">
        <v>21792</v>
      </c>
      <c r="N411" s="224">
        <v>50000</v>
      </c>
      <c r="O411" s="224">
        <v>50000</v>
      </c>
      <c r="P411" s="223">
        <v>50000</v>
      </c>
      <c r="Q411" s="223">
        <v>50000</v>
      </c>
      <c r="R411" s="223">
        <v>50000</v>
      </c>
      <c r="S411" s="223">
        <v>50000</v>
      </c>
      <c r="T411" s="223">
        <v>50000</v>
      </c>
      <c r="V411" s="190"/>
    </row>
    <row r="412" spans="1:31" ht="24" customHeight="1">
      <c r="A412" s="320" t="s">
        <v>1463</v>
      </c>
      <c r="B412" s="323"/>
      <c r="C412" s="323"/>
      <c r="D412" s="320" t="s">
        <v>1461</v>
      </c>
      <c r="E412" s="323"/>
      <c r="F412" s="323"/>
      <c r="G412" s="323"/>
      <c r="H412" s="323"/>
      <c r="I412" s="323"/>
      <c r="J412" s="323"/>
      <c r="K412" s="323"/>
      <c r="L412" s="265">
        <v>0</v>
      </c>
      <c r="M412" s="265">
        <v>0</v>
      </c>
      <c r="N412" s="195">
        <v>0</v>
      </c>
      <c r="O412" s="195">
        <f>120631-2102</f>
        <v>118529</v>
      </c>
      <c r="P412" s="192">
        <v>0</v>
      </c>
      <c r="Q412" s="192">
        <v>0</v>
      </c>
      <c r="R412" s="192">
        <v>0</v>
      </c>
      <c r="S412" s="192">
        <v>0</v>
      </c>
      <c r="T412" s="192">
        <v>0</v>
      </c>
      <c r="V412" s="190"/>
    </row>
    <row r="413" spans="1:31" ht="24" customHeight="1">
      <c r="A413" s="320" t="s">
        <v>1370</v>
      </c>
      <c r="B413" s="323"/>
      <c r="C413" s="323"/>
      <c r="D413" s="320" t="s">
        <v>331</v>
      </c>
      <c r="E413" s="323"/>
      <c r="F413" s="323"/>
      <c r="G413" s="323"/>
      <c r="H413" s="323"/>
      <c r="I413" s="323"/>
      <c r="J413" s="323"/>
      <c r="K413" s="323"/>
      <c r="L413" s="262">
        <v>0</v>
      </c>
      <c r="M413" s="262">
        <v>0</v>
      </c>
      <c r="N413" s="224">
        <v>0</v>
      </c>
      <c r="O413" s="224">
        <v>0</v>
      </c>
      <c r="P413" s="223">
        <v>525</v>
      </c>
      <c r="Q413" s="223">
        <v>525</v>
      </c>
      <c r="R413" s="223">
        <v>525</v>
      </c>
      <c r="S413" s="223">
        <v>525</v>
      </c>
      <c r="T413" s="223">
        <v>525</v>
      </c>
      <c r="V413" s="190"/>
    </row>
    <row r="414" spans="1:31" ht="24" customHeight="1">
      <c r="A414" s="320" t="s">
        <v>1344</v>
      </c>
      <c r="B414" s="323"/>
      <c r="C414" s="323"/>
      <c r="D414" s="320" t="s">
        <v>18</v>
      </c>
      <c r="E414" s="323"/>
      <c r="F414" s="323"/>
      <c r="G414" s="323"/>
      <c r="H414" s="323"/>
      <c r="I414" s="323"/>
      <c r="J414" s="323"/>
      <c r="K414" s="323"/>
      <c r="L414" s="262">
        <v>0</v>
      </c>
      <c r="M414" s="262">
        <v>768</v>
      </c>
      <c r="N414" s="224">
        <v>0</v>
      </c>
      <c r="O414" s="224">
        <v>1000</v>
      </c>
      <c r="P414" s="223">
        <v>1000</v>
      </c>
      <c r="Q414" s="223">
        <v>1000</v>
      </c>
      <c r="R414" s="223">
        <v>1000</v>
      </c>
      <c r="S414" s="223">
        <v>1000</v>
      </c>
      <c r="T414" s="223">
        <v>1000</v>
      </c>
      <c r="V414" s="190"/>
    </row>
    <row r="415" spans="1:31" ht="24" customHeight="1">
      <c r="A415" s="624" t="s">
        <v>1189</v>
      </c>
      <c r="B415" s="323"/>
      <c r="C415" s="323"/>
      <c r="D415" s="322" t="s">
        <v>1190</v>
      </c>
      <c r="E415" s="323"/>
      <c r="F415" s="323"/>
      <c r="G415" s="323"/>
      <c r="H415" s="323"/>
      <c r="I415" s="323"/>
      <c r="J415" s="323"/>
      <c r="K415" s="323"/>
      <c r="L415" s="277">
        <v>0</v>
      </c>
      <c r="M415" s="277">
        <v>88105</v>
      </c>
      <c r="N415" s="195">
        <v>1139622</v>
      </c>
      <c r="O415" s="195">
        <f>1184606-55000</f>
        <v>1129606</v>
      </c>
      <c r="P415" s="209">
        <v>55000</v>
      </c>
      <c r="Q415" s="209">
        <v>0</v>
      </c>
      <c r="R415" s="209">
        <v>0</v>
      </c>
      <c r="S415" s="209">
        <v>0</v>
      </c>
      <c r="T415" s="209">
        <v>0</v>
      </c>
      <c r="V415" s="205"/>
    </row>
    <row r="416" spans="1:31" ht="24" customHeight="1">
      <c r="A416" s="617" t="s">
        <v>1405</v>
      </c>
      <c r="B416" s="323"/>
      <c r="C416" s="323"/>
      <c r="D416" s="322" t="s">
        <v>1431</v>
      </c>
      <c r="E416" s="323"/>
      <c r="F416" s="323"/>
      <c r="G416" s="323"/>
      <c r="H416" s="323"/>
      <c r="I416" s="323"/>
      <c r="J416" s="323"/>
      <c r="K416" s="323"/>
      <c r="L416" s="277">
        <v>0</v>
      </c>
      <c r="M416" s="277">
        <v>0</v>
      </c>
      <c r="N416" s="195">
        <v>0</v>
      </c>
      <c r="O416" s="195">
        <v>25000</v>
      </c>
      <c r="P416" s="209">
        <v>385000</v>
      </c>
      <c r="Q416" s="209">
        <v>0</v>
      </c>
      <c r="R416" s="209">
        <v>0</v>
      </c>
      <c r="S416" s="209">
        <v>0</v>
      </c>
      <c r="T416" s="209">
        <v>0</v>
      </c>
      <c r="V416" s="187"/>
    </row>
    <row r="417" spans="1:39" ht="24" customHeight="1">
      <c r="A417" s="320" t="s">
        <v>1457</v>
      </c>
      <c r="B417" s="656"/>
      <c r="C417" s="656"/>
      <c r="D417" s="1" t="s">
        <v>1454</v>
      </c>
      <c r="E417" s="656"/>
      <c r="F417" s="656"/>
      <c r="G417" s="656"/>
      <c r="H417" s="656"/>
      <c r="I417" s="656"/>
      <c r="J417" s="656"/>
      <c r="K417" s="656"/>
      <c r="L417" s="265">
        <v>0</v>
      </c>
      <c r="M417" s="265">
        <v>0</v>
      </c>
      <c r="N417" s="195">
        <v>0</v>
      </c>
      <c r="O417" s="195">
        <v>0</v>
      </c>
      <c r="P417" s="192">
        <v>707138</v>
      </c>
      <c r="Q417" s="192">
        <v>0</v>
      </c>
      <c r="R417" s="192">
        <v>0</v>
      </c>
      <c r="S417" s="192">
        <v>0</v>
      </c>
      <c r="T417" s="192">
        <v>0</v>
      </c>
      <c r="V417" s="187"/>
    </row>
    <row r="418" spans="1:39" ht="24" customHeight="1">
      <c r="A418" s="550" t="s">
        <v>1388</v>
      </c>
      <c r="B418" s="323"/>
      <c r="C418" s="323"/>
      <c r="D418" s="1" t="s">
        <v>1389</v>
      </c>
      <c r="E418" s="323"/>
      <c r="F418" s="323"/>
      <c r="G418" s="323"/>
      <c r="H418" s="323"/>
      <c r="I418" s="323"/>
      <c r="J418" s="323"/>
      <c r="K418" s="323"/>
      <c r="L418" s="277">
        <v>0</v>
      </c>
      <c r="M418" s="277">
        <v>0</v>
      </c>
      <c r="N418" s="195">
        <v>31000</v>
      </c>
      <c r="O418" s="195">
        <v>17000</v>
      </c>
      <c r="P418" s="209">
        <v>14000</v>
      </c>
      <c r="Q418" s="209">
        <v>0</v>
      </c>
      <c r="R418" s="209">
        <v>0</v>
      </c>
      <c r="S418" s="209">
        <v>0</v>
      </c>
      <c r="T418" s="209">
        <v>0</v>
      </c>
      <c r="V418" s="187"/>
    </row>
    <row r="419" spans="1:39" ht="24" customHeight="1">
      <c r="A419" s="321" t="s">
        <v>1164</v>
      </c>
      <c r="B419" s="323"/>
      <c r="C419" s="323"/>
      <c r="D419" s="322" t="s">
        <v>1178</v>
      </c>
      <c r="E419" s="323"/>
      <c r="F419" s="323"/>
      <c r="G419" s="323"/>
      <c r="H419" s="323"/>
      <c r="I419" s="323"/>
      <c r="J419" s="323"/>
      <c r="K419" s="323"/>
      <c r="L419" s="277">
        <v>0</v>
      </c>
      <c r="M419" s="277">
        <v>605242</v>
      </c>
      <c r="N419" s="210">
        <v>390000</v>
      </c>
      <c r="O419" s="210">
        <v>390000</v>
      </c>
      <c r="P419" s="209">
        <f>300000+200000</f>
        <v>500000</v>
      </c>
      <c r="Q419" s="209">
        <f t="shared" ref="Q419" si="135">300000+200000</f>
        <v>500000</v>
      </c>
      <c r="R419" s="209">
        <f>300000+200000-113960</f>
        <v>386040</v>
      </c>
      <c r="S419" s="209">
        <f>300000+200000-142408-130484+41784-38224</f>
        <v>230668</v>
      </c>
      <c r="T419" s="209">
        <f>300000+200000-19517-6825-120881+2102-46092</f>
        <v>308787</v>
      </c>
      <c r="V419" s="187"/>
    </row>
    <row r="420" spans="1:39" ht="24" customHeight="1">
      <c r="A420" s="321" t="s">
        <v>320</v>
      </c>
      <c r="B420" s="323"/>
      <c r="C420" s="323"/>
      <c r="D420" s="320" t="s">
        <v>179</v>
      </c>
      <c r="E420" s="323"/>
      <c r="F420" s="323"/>
      <c r="G420" s="323"/>
      <c r="H420" s="323"/>
      <c r="I420" s="323"/>
      <c r="J420" s="323"/>
      <c r="K420" s="323"/>
      <c r="L420" s="277">
        <v>0</v>
      </c>
      <c r="M420" s="277">
        <v>2916</v>
      </c>
      <c r="N420" s="186">
        <v>12500</v>
      </c>
      <c r="O420" s="186">
        <v>12500</v>
      </c>
      <c r="P420" s="185">
        <v>12500</v>
      </c>
      <c r="Q420" s="185">
        <v>12500</v>
      </c>
      <c r="R420" s="185">
        <v>12500</v>
      </c>
      <c r="S420" s="185">
        <v>12500</v>
      </c>
      <c r="T420" s="185">
        <v>12500</v>
      </c>
    </row>
    <row r="421" spans="1:39" ht="24" customHeight="1">
      <c r="A421" s="617" t="s">
        <v>1154</v>
      </c>
      <c r="B421" s="323"/>
      <c r="C421" s="323"/>
      <c r="D421" s="322" t="s">
        <v>1275</v>
      </c>
      <c r="E421" s="323"/>
      <c r="F421" s="323"/>
      <c r="G421" s="323"/>
      <c r="H421" s="323"/>
      <c r="I421" s="323"/>
      <c r="J421" s="323"/>
      <c r="K421" s="323"/>
      <c r="L421" s="277">
        <v>0</v>
      </c>
      <c r="M421" s="277">
        <v>0</v>
      </c>
      <c r="N421" s="186">
        <v>40000</v>
      </c>
      <c r="O421" s="186">
        <v>30000</v>
      </c>
      <c r="P421" s="185">
        <f>40000+10000</f>
        <v>50000</v>
      </c>
      <c r="Q421" s="185">
        <v>0</v>
      </c>
      <c r="R421" s="185">
        <v>0</v>
      </c>
      <c r="S421" s="185">
        <v>0</v>
      </c>
      <c r="T421" s="185">
        <v>0</v>
      </c>
      <c r="V421" s="205"/>
    </row>
    <row r="422" spans="1:39" ht="24" customHeight="1">
      <c r="A422" s="624" t="s">
        <v>1006</v>
      </c>
      <c r="B422" s="323"/>
      <c r="C422" s="323"/>
      <c r="D422" s="320" t="s">
        <v>1277</v>
      </c>
      <c r="E422" s="158"/>
      <c r="F422" s="158"/>
      <c r="G422" s="158"/>
      <c r="H422" s="158"/>
      <c r="I422" s="158"/>
      <c r="J422" s="158"/>
      <c r="K422" s="158"/>
      <c r="L422" s="277">
        <v>0</v>
      </c>
      <c r="M422" s="277">
        <v>0</v>
      </c>
      <c r="N422" s="210">
        <v>0</v>
      </c>
      <c r="O422" s="210">
        <v>0</v>
      </c>
      <c r="P422" s="209">
        <v>0</v>
      </c>
      <c r="Q422" s="209">
        <v>0</v>
      </c>
      <c r="R422" s="209">
        <v>110400</v>
      </c>
      <c r="S422" s="209">
        <v>0</v>
      </c>
      <c r="T422" s="209">
        <v>0</v>
      </c>
      <c r="V422" s="187"/>
    </row>
    <row r="423" spans="1:39" ht="24" customHeight="1">
      <c r="A423" s="624" t="s">
        <v>1008</v>
      </c>
      <c r="B423" s="323"/>
      <c r="C423" s="323"/>
      <c r="D423" s="320" t="s">
        <v>1007</v>
      </c>
      <c r="E423" s="323"/>
      <c r="F423" s="323"/>
      <c r="G423" s="323"/>
      <c r="H423" s="323"/>
      <c r="I423" s="323"/>
      <c r="J423" s="323"/>
      <c r="K423" s="323"/>
      <c r="L423" s="277">
        <v>0</v>
      </c>
      <c r="M423" s="277">
        <v>0</v>
      </c>
      <c r="N423" s="210">
        <v>230200</v>
      </c>
      <c r="O423" s="210">
        <v>0</v>
      </c>
      <c r="P423" s="209">
        <v>0</v>
      </c>
      <c r="Q423" s="209">
        <v>15000</v>
      </c>
      <c r="R423" s="209">
        <f>15000+(284142-30000)</f>
        <v>269142</v>
      </c>
      <c r="S423" s="209">
        <v>0</v>
      </c>
      <c r="T423" s="209">
        <v>0</v>
      </c>
      <c r="V423" s="187"/>
    </row>
    <row r="424" spans="1:39" ht="24" customHeight="1">
      <c r="A424" s="628" t="s">
        <v>321</v>
      </c>
      <c r="B424" s="323"/>
      <c r="C424" s="323"/>
      <c r="D424" s="320" t="s">
        <v>299</v>
      </c>
      <c r="E424" s="323"/>
      <c r="F424" s="323"/>
      <c r="G424" s="323"/>
      <c r="H424" s="323"/>
      <c r="I424" s="323"/>
      <c r="J424" s="323"/>
      <c r="K424" s="323"/>
      <c r="L424" s="264">
        <v>0</v>
      </c>
      <c r="M424" s="264">
        <v>5125</v>
      </c>
      <c r="N424" s="189">
        <v>258000</v>
      </c>
      <c r="O424" s="189">
        <f>35000+105000+161499</f>
        <v>301499</v>
      </c>
      <c r="P424" s="188">
        <f>(700000-105000)+(1614988-161499+12)</f>
        <v>2048501</v>
      </c>
      <c r="Q424" s="188">
        <v>0</v>
      </c>
      <c r="R424" s="188">
        <v>0</v>
      </c>
      <c r="S424" s="188">
        <v>0</v>
      </c>
      <c r="T424" s="188">
        <v>0</v>
      </c>
      <c r="V424" s="187"/>
      <c r="W424" s="222"/>
    </row>
    <row r="425" spans="1:39" ht="24" customHeight="1">
      <c r="A425" s="320" t="s">
        <v>322</v>
      </c>
      <c r="B425" s="323"/>
      <c r="C425" s="323"/>
      <c r="D425" s="320" t="s">
        <v>323</v>
      </c>
      <c r="E425" s="335"/>
      <c r="F425" s="335"/>
      <c r="G425" s="335"/>
      <c r="H425" s="335"/>
      <c r="I425" s="335"/>
      <c r="J425" s="335"/>
      <c r="K425" s="335"/>
      <c r="L425" s="264">
        <v>152707</v>
      </c>
      <c r="M425" s="264">
        <v>221880</v>
      </c>
      <c r="N425" s="189">
        <v>0</v>
      </c>
      <c r="O425" s="189">
        <v>0</v>
      </c>
      <c r="P425" s="188">
        <v>152184</v>
      </c>
      <c r="Q425" s="188">
        <v>0</v>
      </c>
      <c r="R425" s="188">
        <v>0</v>
      </c>
      <c r="S425" s="188">
        <v>0</v>
      </c>
      <c r="T425" s="188">
        <v>0</v>
      </c>
      <c r="V425" s="187"/>
      <c r="W425" s="222"/>
    </row>
    <row r="426" spans="1:39" ht="24" customHeight="1">
      <c r="A426" s="320" t="s">
        <v>1419</v>
      </c>
      <c r="B426" s="323"/>
      <c r="C426" s="323"/>
      <c r="D426" s="1" t="s">
        <v>1420</v>
      </c>
      <c r="E426" s="335"/>
      <c r="F426" s="335"/>
      <c r="G426" s="335"/>
      <c r="H426" s="335"/>
      <c r="I426" s="335"/>
      <c r="J426" s="335"/>
      <c r="K426" s="335"/>
      <c r="L426" s="265">
        <v>0</v>
      </c>
      <c r="M426" s="265">
        <v>0</v>
      </c>
      <c r="N426" s="195">
        <v>0</v>
      </c>
      <c r="O426" s="195">
        <v>0</v>
      </c>
      <c r="P426" s="192">
        <v>1400000</v>
      </c>
      <c r="Q426" s="192">
        <v>0</v>
      </c>
      <c r="R426" s="192">
        <v>0</v>
      </c>
      <c r="S426" s="192">
        <v>0</v>
      </c>
      <c r="T426" s="192">
        <v>0</v>
      </c>
      <c r="V426" s="187"/>
      <c r="W426" s="670"/>
      <c r="X426" s="670"/>
    </row>
    <row r="427" spans="1:39" ht="24" customHeight="1">
      <c r="A427" s="320" t="s">
        <v>324</v>
      </c>
      <c r="B427" s="323"/>
      <c r="C427" s="323"/>
      <c r="D427" s="320" t="s">
        <v>325</v>
      </c>
      <c r="E427" s="323"/>
      <c r="F427" s="323"/>
      <c r="G427" s="323"/>
      <c r="H427" s="323"/>
      <c r="I427" s="323"/>
      <c r="J427" s="323"/>
      <c r="K427" s="323"/>
      <c r="L427" s="262">
        <v>37891</v>
      </c>
      <c r="M427" s="262">
        <v>22707</v>
      </c>
      <c r="N427" s="186">
        <v>0</v>
      </c>
      <c r="O427" s="186">
        <v>0</v>
      </c>
      <c r="P427" s="185">
        <v>0</v>
      </c>
      <c r="Q427" s="185">
        <v>0</v>
      </c>
      <c r="R427" s="185">
        <v>0</v>
      </c>
      <c r="S427" s="185">
        <v>0</v>
      </c>
      <c r="T427" s="185">
        <v>0</v>
      </c>
      <c r="X427" s="670"/>
    </row>
    <row r="428" spans="1:39" ht="24" customHeight="1">
      <c r="A428" s="320" t="s">
        <v>730</v>
      </c>
      <c r="B428" s="323"/>
      <c r="C428" s="323"/>
      <c r="D428" s="320" t="s">
        <v>969</v>
      </c>
      <c r="E428" s="323"/>
      <c r="F428" s="323"/>
      <c r="G428" s="323"/>
      <c r="H428" s="323"/>
      <c r="I428" s="323"/>
      <c r="J428" s="323"/>
      <c r="K428" s="323"/>
      <c r="L428" s="262">
        <v>20007</v>
      </c>
      <c r="M428" s="262">
        <v>87147</v>
      </c>
      <c r="N428" s="224">
        <v>97700</v>
      </c>
      <c r="O428" s="224">
        <v>81500</v>
      </c>
      <c r="P428" s="192">
        <f>14000+28500</f>
        <v>42500</v>
      </c>
      <c r="Q428" s="192">
        <f>142700+266200</f>
        <v>408900</v>
      </c>
      <c r="R428" s="185">
        <f>15900+29600</f>
        <v>45500</v>
      </c>
      <c r="S428" s="185">
        <v>0</v>
      </c>
      <c r="T428" s="185">
        <v>0</v>
      </c>
    </row>
    <row r="429" spans="1:39" ht="24" customHeight="1">
      <c r="A429" s="320" t="s">
        <v>1263</v>
      </c>
      <c r="B429" s="323"/>
      <c r="C429" s="323"/>
      <c r="D429" s="766" t="s">
        <v>1276</v>
      </c>
      <c r="E429" s="766"/>
      <c r="F429" s="766"/>
      <c r="G429" s="766"/>
      <c r="H429" s="766"/>
      <c r="I429" s="766"/>
      <c r="J429" s="766"/>
      <c r="K429" s="766"/>
      <c r="L429" s="262">
        <v>0</v>
      </c>
      <c r="M429" s="262">
        <v>0</v>
      </c>
      <c r="N429" s="224">
        <v>135000</v>
      </c>
      <c r="O429" s="224">
        <f>135000-7000-2000</f>
        <v>126000</v>
      </c>
      <c r="P429" s="192">
        <f>7000+2000</f>
        <v>9000</v>
      </c>
      <c r="Q429" s="192">
        <v>0</v>
      </c>
      <c r="R429" s="185">
        <v>0</v>
      </c>
      <c r="S429" s="185">
        <v>0</v>
      </c>
      <c r="T429" s="185">
        <v>0</v>
      </c>
      <c r="V429" s="761"/>
      <c r="W429" s="761"/>
      <c r="X429" s="761"/>
      <c r="Y429" s="761"/>
      <c r="Z429" s="761"/>
      <c r="AA429" s="761"/>
      <c r="AB429" s="761"/>
      <c r="AC429" s="761"/>
      <c r="AD429" s="761"/>
      <c r="AE429" s="761"/>
      <c r="AF429" s="761"/>
      <c r="AG429" s="761"/>
      <c r="AH429" s="761"/>
      <c r="AI429" s="761"/>
      <c r="AJ429" s="528"/>
      <c r="AK429" s="528"/>
    </row>
    <row r="430" spans="1:39" ht="24" customHeight="1">
      <c r="A430" s="326" t="s">
        <v>1363</v>
      </c>
      <c r="B430" s="321"/>
      <c r="C430" s="321"/>
      <c r="D430" s="320"/>
      <c r="E430" s="321"/>
      <c r="F430" s="321"/>
      <c r="G430" s="321"/>
      <c r="H430" s="321"/>
      <c r="I430" s="321"/>
      <c r="J430" s="321"/>
      <c r="K430" s="321"/>
      <c r="L430" s="264"/>
      <c r="M430" s="264"/>
      <c r="N430" s="189"/>
      <c r="O430" s="189"/>
      <c r="P430" s="188"/>
      <c r="Q430" s="188"/>
      <c r="R430" s="188"/>
      <c r="S430" s="188"/>
      <c r="T430" s="188"/>
      <c r="V430" s="529"/>
      <c r="W430" s="529"/>
      <c r="X430" s="529"/>
      <c r="Y430" s="529"/>
      <c r="Z430" s="529"/>
      <c r="AA430" s="529"/>
      <c r="AB430" s="529"/>
      <c r="AC430" s="529"/>
      <c r="AD430" s="529"/>
      <c r="AE430" s="529"/>
      <c r="AF430" s="529"/>
      <c r="AG430" s="529"/>
      <c r="AH430" s="529"/>
      <c r="AI430" s="529"/>
      <c r="AJ430" s="529"/>
      <c r="AK430" s="529"/>
    </row>
    <row r="431" spans="1:39" ht="24" customHeight="1">
      <c r="A431" s="320" t="s">
        <v>1364</v>
      </c>
      <c r="B431" s="417"/>
      <c r="C431" s="417"/>
      <c r="D431" s="320" t="s">
        <v>1117</v>
      </c>
      <c r="E431" s="417"/>
      <c r="F431" s="417"/>
      <c r="G431" s="417"/>
      <c r="H431" s="417"/>
      <c r="I431" s="417"/>
      <c r="J431" s="321"/>
      <c r="K431" s="321"/>
      <c r="L431" s="264">
        <v>0</v>
      </c>
      <c r="M431" s="264">
        <v>0</v>
      </c>
      <c r="N431" s="189">
        <v>0</v>
      </c>
      <c r="O431" s="189">
        <v>0</v>
      </c>
      <c r="P431" s="188">
        <v>135000</v>
      </c>
      <c r="Q431" s="188">
        <v>185000</v>
      </c>
      <c r="R431" s="188">
        <v>190000</v>
      </c>
      <c r="S431" s="188">
        <v>190000</v>
      </c>
      <c r="T431" s="188">
        <v>195000</v>
      </c>
      <c r="V431" s="530"/>
      <c r="W431" s="530"/>
      <c r="X431" s="530"/>
      <c r="Y431" s="530"/>
      <c r="Z431" s="530"/>
      <c r="AA431" s="530"/>
      <c r="AB431" s="530"/>
      <c r="AC431" s="530"/>
      <c r="AD431" s="530"/>
      <c r="AE431" s="530"/>
      <c r="AF431" s="530"/>
      <c r="AG431" s="530"/>
      <c r="AH431" s="530"/>
      <c r="AI431" s="530"/>
      <c r="AJ431" s="530"/>
      <c r="AK431" s="530"/>
      <c r="AM431" s="240"/>
    </row>
    <row r="432" spans="1:39" ht="24" customHeight="1">
      <c r="A432" s="320" t="s">
        <v>1365</v>
      </c>
      <c r="B432" s="417"/>
      <c r="C432" s="417"/>
      <c r="D432" s="320" t="s">
        <v>309</v>
      </c>
      <c r="E432" s="417"/>
      <c r="F432" s="417"/>
      <c r="G432" s="417"/>
      <c r="H432" s="417"/>
      <c r="I432" s="417"/>
      <c r="J432" s="321"/>
      <c r="K432" s="321"/>
      <c r="L432" s="265">
        <v>0</v>
      </c>
      <c r="M432" s="265">
        <v>0</v>
      </c>
      <c r="N432" s="195">
        <v>0</v>
      </c>
      <c r="O432" s="195">
        <v>0</v>
      </c>
      <c r="P432" s="192">
        <v>195937</v>
      </c>
      <c r="Q432" s="192">
        <v>144138</v>
      </c>
      <c r="R432" s="192">
        <v>138588</v>
      </c>
      <c r="S432" s="192">
        <v>132888</v>
      </c>
      <c r="T432" s="192">
        <v>127188</v>
      </c>
      <c r="V432" s="530"/>
      <c r="W432" s="530"/>
      <c r="X432" s="530"/>
      <c r="Y432" s="530"/>
      <c r="Z432" s="530"/>
      <c r="AA432" s="530"/>
      <c r="AB432" s="530"/>
      <c r="AC432" s="530"/>
      <c r="AD432" s="530"/>
      <c r="AE432" s="530"/>
      <c r="AF432" s="530"/>
      <c r="AG432" s="530"/>
      <c r="AH432" s="530"/>
      <c r="AI432" s="530"/>
      <c r="AJ432" s="530"/>
      <c r="AK432" s="530"/>
      <c r="AM432" s="240"/>
    </row>
    <row r="433" spans="1:37" ht="24" customHeight="1">
      <c r="A433" s="326" t="s">
        <v>976</v>
      </c>
      <c r="B433" s="581"/>
      <c r="C433" s="581"/>
      <c r="D433" s="320"/>
      <c r="E433" s="581"/>
      <c r="F433" s="581"/>
      <c r="G433" s="581"/>
      <c r="H433" s="581"/>
      <c r="I433" s="581"/>
      <c r="J433" s="581"/>
      <c r="K433" s="581"/>
      <c r="L433" s="264"/>
      <c r="M433" s="264"/>
      <c r="N433" s="189"/>
      <c r="O433" s="189"/>
      <c r="P433" s="188"/>
      <c r="Q433" s="188"/>
      <c r="R433" s="188"/>
      <c r="S433" s="188"/>
      <c r="T433" s="188"/>
    </row>
    <row r="434" spans="1:37" ht="24" customHeight="1">
      <c r="A434" s="320" t="s">
        <v>326</v>
      </c>
      <c r="B434" s="321"/>
      <c r="C434" s="321"/>
      <c r="D434" s="320" t="s">
        <v>1117</v>
      </c>
      <c r="E434" s="321"/>
      <c r="F434" s="321"/>
      <c r="G434" s="321"/>
      <c r="H434" s="321"/>
      <c r="I434" s="321"/>
      <c r="J434" s="321"/>
      <c r="K434" s="321"/>
      <c r="L434" s="264">
        <v>0</v>
      </c>
      <c r="M434" s="264">
        <v>75000</v>
      </c>
      <c r="N434" s="189">
        <v>85000</v>
      </c>
      <c r="O434" s="189">
        <v>75000</v>
      </c>
      <c r="P434" s="188">
        <v>77419</v>
      </c>
      <c r="Q434" s="188">
        <v>77419</v>
      </c>
      <c r="R434" s="188">
        <v>77419</v>
      </c>
      <c r="S434" s="188">
        <v>77419</v>
      </c>
      <c r="T434" s="188">
        <v>0</v>
      </c>
      <c r="V434" s="240"/>
      <c r="W434" s="190"/>
    </row>
    <row r="435" spans="1:37" ht="24" customHeight="1">
      <c r="A435" s="690" t="s">
        <v>1470</v>
      </c>
      <c r="B435" s="323"/>
      <c r="C435" s="323"/>
      <c r="D435" s="320" t="s">
        <v>1439</v>
      </c>
      <c r="E435" s="323"/>
      <c r="F435" s="323"/>
      <c r="G435" s="323"/>
      <c r="H435" s="323"/>
      <c r="I435" s="323"/>
      <c r="J435" s="323"/>
      <c r="K435" s="695"/>
      <c r="L435" s="270">
        <v>0</v>
      </c>
      <c r="M435" s="270">
        <v>0</v>
      </c>
      <c r="N435" s="202">
        <v>0</v>
      </c>
      <c r="O435" s="202">
        <v>6825</v>
      </c>
      <c r="P435" s="201">
        <v>0</v>
      </c>
      <c r="Q435" s="201">
        <v>0</v>
      </c>
      <c r="R435" s="201">
        <v>0</v>
      </c>
      <c r="S435" s="201">
        <v>0</v>
      </c>
      <c r="T435" s="201">
        <v>0</v>
      </c>
      <c r="V435" s="240"/>
      <c r="W435" s="190"/>
    </row>
    <row r="436" spans="1:37" s="255" customFormat="1" ht="24" customHeight="1">
      <c r="L436" s="273">
        <f>SUM(L408:L435)</f>
        <v>386213</v>
      </c>
      <c r="M436" s="273">
        <f t="shared" ref="M436:T436" si="136">SUM(M408:M435)</f>
        <v>1199916</v>
      </c>
      <c r="N436" s="274">
        <f t="shared" si="136"/>
        <v>2469022</v>
      </c>
      <c r="O436" s="274">
        <f t="shared" si="136"/>
        <v>2416484</v>
      </c>
      <c r="P436" s="273">
        <f t="shared" si="136"/>
        <v>5835704</v>
      </c>
      <c r="Q436" s="273">
        <f t="shared" si="136"/>
        <v>1394482</v>
      </c>
      <c r="R436" s="273">
        <f t="shared" si="136"/>
        <v>1281114</v>
      </c>
      <c r="S436" s="273">
        <f t="shared" si="136"/>
        <v>695000</v>
      </c>
      <c r="T436" s="273">
        <f t="shared" si="136"/>
        <v>695000</v>
      </c>
      <c r="U436" s="542"/>
      <c r="V436" s="240"/>
      <c r="W436" s="697"/>
      <c r="X436" s="697"/>
      <c r="Y436" s="697"/>
      <c r="Z436" s="697"/>
      <c r="AA436" s="697"/>
      <c r="AB436" s="697"/>
      <c r="AC436" s="697"/>
      <c r="AD436" s="697"/>
      <c r="AE436" s="697"/>
      <c r="AF436" s="697"/>
      <c r="AG436" s="697"/>
      <c r="AH436" s="697"/>
      <c r="AI436" s="697"/>
      <c r="AJ436" s="697"/>
      <c r="AK436" s="697"/>
    </row>
    <row r="437" spans="1:37" s="255" customFormat="1" ht="15" customHeight="1">
      <c r="L437" s="273"/>
      <c r="M437" s="273"/>
      <c r="N437" s="274"/>
      <c r="O437" s="274"/>
      <c r="P437" s="273"/>
      <c r="Q437" s="273"/>
      <c r="R437" s="273"/>
      <c r="S437" s="273"/>
      <c r="T437" s="273"/>
      <c r="U437" s="542"/>
      <c r="V437" s="697"/>
      <c r="W437" s="697"/>
      <c r="X437" s="697"/>
      <c r="Y437" s="697"/>
      <c r="Z437" s="697"/>
      <c r="AA437" s="697"/>
      <c r="AB437" s="697"/>
      <c r="AC437" s="697"/>
      <c r="AD437" s="697"/>
      <c r="AE437" s="697"/>
      <c r="AF437" s="697"/>
      <c r="AG437" s="697"/>
      <c r="AH437" s="697"/>
      <c r="AI437" s="697"/>
      <c r="AJ437" s="697"/>
      <c r="AK437" s="697"/>
    </row>
    <row r="438" spans="1:37" s="255" customFormat="1" ht="24" customHeight="1">
      <c r="K438" s="324" t="s">
        <v>598</v>
      </c>
      <c r="L438" s="273">
        <f t="shared" ref="L438:T438" si="137">L405+L436</f>
        <v>386213</v>
      </c>
      <c r="M438" s="273">
        <f t="shared" si="137"/>
        <v>1204795</v>
      </c>
      <c r="N438" s="274">
        <f t="shared" si="137"/>
        <v>2579272</v>
      </c>
      <c r="O438" s="274">
        <f t="shared" si="137"/>
        <v>2523984</v>
      </c>
      <c r="P438" s="273">
        <f>P405+P436</f>
        <v>5900204</v>
      </c>
      <c r="Q438" s="273">
        <f t="shared" si="137"/>
        <v>1461482</v>
      </c>
      <c r="R438" s="273">
        <f t="shared" si="137"/>
        <v>1348114</v>
      </c>
      <c r="S438" s="273">
        <f t="shared" si="137"/>
        <v>762000</v>
      </c>
      <c r="T438" s="273">
        <f t="shared" si="137"/>
        <v>762000</v>
      </c>
      <c r="U438" s="542"/>
    </row>
    <row r="439" spans="1:37" s="255" customFormat="1" ht="15" customHeight="1">
      <c r="L439" s="271"/>
      <c r="M439" s="271"/>
      <c r="N439" s="272"/>
      <c r="O439" s="272"/>
      <c r="P439" s="271"/>
      <c r="Q439" s="271"/>
      <c r="R439" s="271"/>
      <c r="S439" s="271"/>
      <c r="T439" s="271"/>
      <c r="U439" s="542"/>
    </row>
    <row r="440" spans="1:37" s="255" customFormat="1" ht="24" customHeight="1">
      <c r="K440" s="324" t="s">
        <v>599</v>
      </c>
      <c r="L440" s="290">
        <f t="shared" ref="L440:T440" si="138">L398-L438</f>
        <v>247529</v>
      </c>
      <c r="M440" s="290">
        <f t="shared" si="138"/>
        <v>347829</v>
      </c>
      <c r="N440" s="291">
        <f t="shared" si="138"/>
        <v>3970568</v>
      </c>
      <c r="O440" s="291">
        <f t="shared" si="138"/>
        <v>4297523</v>
      </c>
      <c r="P440" s="290">
        <f t="shared" si="138"/>
        <v>-4142882</v>
      </c>
      <c r="Q440" s="290">
        <f t="shared" si="138"/>
        <v>-290582</v>
      </c>
      <c r="R440" s="290">
        <f t="shared" si="138"/>
        <v>-540614</v>
      </c>
      <c r="S440" s="290">
        <f t="shared" si="138"/>
        <v>0</v>
      </c>
      <c r="T440" s="290">
        <f t="shared" si="138"/>
        <v>0</v>
      </c>
      <c r="U440" s="542"/>
    </row>
    <row r="441" spans="1:37" s="255" customFormat="1" ht="15" customHeight="1">
      <c r="K441" s="324"/>
      <c r="L441" s="290"/>
      <c r="M441" s="290"/>
      <c r="N441" s="291"/>
      <c r="O441" s="291"/>
      <c r="P441" s="290"/>
      <c r="Q441" s="290"/>
      <c r="R441" s="290"/>
      <c r="S441" s="290"/>
      <c r="T441" s="290"/>
      <c r="U441" s="542"/>
    </row>
    <row r="442" spans="1:37" s="255" customFormat="1" ht="24" customHeight="1">
      <c r="F442" s="745" t="s">
        <v>1373</v>
      </c>
      <c r="G442" s="745"/>
      <c r="H442" s="745"/>
      <c r="I442" s="745"/>
      <c r="J442" s="745"/>
      <c r="K442" s="745"/>
      <c r="L442" s="297">
        <v>0</v>
      </c>
      <c r="M442" s="297">
        <v>0</v>
      </c>
      <c r="N442" s="298">
        <v>0</v>
      </c>
      <c r="O442" s="298">
        <f>M442+(O394+O383-O405)</f>
        <v>0</v>
      </c>
      <c r="P442" s="297">
        <f>O442+(P394+P383-P405)</f>
        <v>0</v>
      </c>
      <c r="Q442" s="297">
        <f>P442+(Q394+Q383-Q405)</f>
        <v>0</v>
      </c>
      <c r="R442" s="297">
        <f>Q442+(R394+R383-R405)</f>
        <v>0</v>
      </c>
      <c r="S442" s="297">
        <f>R442+(S394+S383-S405)</f>
        <v>0</v>
      </c>
      <c r="T442" s="297">
        <f>S442+(T394+T383-T405)</f>
        <v>0</v>
      </c>
      <c r="U442" s="542"/>
    </row>
    <row r="443" spans="1:37" s="255" customFormat="1" ht="15" customHeight="1">
      <c r="F443" s="336"/>
      <c r="G443" s="336"/>
      <c r="H443" s="336"/>
      <c r="I443" s="336"/>
      <c r="J443" s="336"/>
      <c r="K443" s="336"/>
      <c r="L443" s="299"/>
      <c r="M443" s="299"/>
      <c r="N443" s="499"/>
      <c r="O443" s="499"/>
      <c r="P443" s="299"/>
      <c r="Q443" s="299"/>
      <c r="R443" s="299"/>
      <c r="S443" s="299"/>
      <c r="T443" s="299"/>
      <c r="U443" s="542"/>
    </row>
    <row r="444" spans="1:37" s="255" customFormat="1" ht="24" customHeight="1">
      <c r="F444" s="745" t="s">
        <v>1372</v>
      </c>
      <c r="G444" s="745"/>
      <c r="H444" s="745"/>
      <c r="I444" s="745"/>
      <c r="J444" s="745"/>
      <c r="K444" s="745"/>
      <c r="L444" s="297">
        <v>328726</v>
      </c>
      <c r="M444" s="297">
        <v>676555</v>
      </c>
      <c r="N444" s="298">
        <v>4662971</v>
      </c>
      <c r="O444" s="298">
        <f>M444+(O398-O394-O383-O436)</f>
        <v>4974078</v>
      </c>
      <c r="P444" s="297">
        <f>O444+(P398-P394-P383-P436)</f>
        <v>831196</v>
      </c>
      <c r="Q444" s="297">
        <f>P444+(Q398-Q394-Q383-Q436)</f>
        <v>540614</v>
      </c>
      <c r="R444" s="297">
        <f>Q444+(R398-R394-R383-R436)</f>
        <v>0</v>
      </c>
      <c r="S444" s="297">
        <f>R444+(S398-S394-S383-S436)</f>
        <v>0</v>
      </c>
      <c r="T444" s="297">
        <f>S444+(T398-T394-T383-T436)</f>
        <v>0</v>
      </c>
      <c r="U444" s="542"/>
    </row>
    <row r="445" spans="1:37" s="255" customFormat="1" ht="15" customHeight="1">
      <c r="K445" s="324"/>
      <c r="L445" s="290"/>
      <c r="M445" s="290"/>
      <c r="N445" s="291"/>
      <c r="O445" s="291"/>
      <c r="P445" s="290"/>
      <c r="Q445" s="290"/>
      <c r="R445" s="290"/>
      <c r="S445" s="290"/>
      <c r="T445" s="290"/>
      <c r="U445" s="542"/>
    </row>
    <row r="446" spans="1:37" s="255" customFormat="1" ht="24" customHeight="1" thickBot="1">
      <c r="K446" s="329" t="s">
        <v>601</v>
      </c>
      <c r="L446" s="300">
        <v>328726</v>
      </c>
      <c r="M446" s="300">
        <v>676555</v>
      </c>
      <c r="N446" s="301">
        <v>4662971</v>
      </c>
      <c r="O446" s="301">
        <f>O442+O444</f>
        <v>4974078</v>
      </c>
      <c r="P446" s="300">
        <f t="shared" ref="P446:T446" si="139">P442+P444</f>
        <v>831196</v>
      </c>
      <c r="Q446" s="300">
        <f t="shared" si="139"/>
        <v>540614</v>
      </c>
      <c r="R446" s="300">
        <f t="shared" si="139"/>
        <v>0</v>
      </c>
      <c r="S446" s="300">
        <f t="shared" si="139"/>
        <v>0</v>
      </c>
      <c r="T446" s="300">
        <f t="shared" si="139"/>
        <v>0</v>
      </c>
      <c r="U446" s="542"/>
      <c r="V446" s="697"/>
    </row>
    <row r="447" spans="1:37" ht="15" customHeight="1" thickTop="1">
      <c r="A447" s="255"/>
      <c r="B447" s="255"/>
      <c r="C447" s="255"/>
      <c r="D447" s="255"/>
      <c r="E447" s="255"/>
      <c r="F447" s="255"/>
      <c r="G447" s="255"/>
      <c r="H447" s="255"/>
      <c r="I447" s="255"/>
      <c r="J447" s="255"/>
      <c r="K447" s="329"/>
      <c r="L447" s="469"/>
      <c r="M447" s="469"/>
      <c r="N447" s="474"/>
      <c r="O447" s="474"/>
      <c r="P447" s="475"/>
      <c r="Q447" s="475"/>
      <c r="R447" s="475"/>
      <c r="S447" s="475"/>
      <c r="T447" s="475"/>
    </row>
    <row r="448" spans="1:37" ht="24" customHeight="1">
      <c r="A448" s="331" t="s">
        <v>1018</v>
      </c>
      <c r="B448" s="668"/>
      <c r="C448" s="668"/>
      <c r="D448" s="668"/>
      <c r="E448" s="668"/>
      <c r="F448" s="668"/>
      <c r="G448" s="255"/>
      <c r="H448" s="255"/>
      <c r="I448" s="255"/>
      <c r="J448" s="255"/>
      <c r="K448" s="329"/>
      <c r="L448" s="469"/>
      <c r="M448" s="469"/>
      <c r="N448" s="474"/>
      <c r="O448" s="474"/>
      <c r="P448" s="475"/>
      <c r="Q448" s="475"/>
      <c r="R448" s="475"/>
      <c r="S448" s="475"/>
      <c r="T448" s="475"/>
    </row>
    <row r="449" spans="1:23" ht="15" customHeight="1">
      <c r="A449" s="255"/>
      <c r="B449" s="255"/>
      <c r="C449" s="255"/>
      <c r="D449" s="255"/>
      <c r="E449" s="255"/>
      <c r="F449" s="255"/>
      <c r="G449" s="255"/>
      <c r="H449" s="255"/>
      <c r="I449" s="255"/>
      <c r="J449" s="255"/>
      <c r="K449" s="329"/>
      <c r="L449" s="469"/>
      <c r="M449" s="469"/>
      <c r="N449" s="474"/>
      <c r="O449" s="474"/>
      <c r="P449" s="475"/>
      <c r="Q449" s="475"/>
      <c r="R449" s="475"/>
      <c r="S449" s="475"/>
      <c r="T449" s="475"/>
    </row>
    <row r="450" spans="1:23" ht="24" customHeight="1">
      <c r="A450" s="320" t="s">
        <v>1313</v>
      </c>
      <c r="B450" s="321"/>
      <c r="C450" s="255"/>
      <c r="D450" s="320" t="s">
        <v>1019</v>
      </c>
      <c r="E450" s="321"/>
      <c r="F450" s="255"/>
      <c r="G450" s="255"/>
      <c r="H450" s="255"/>
      <c r="I450" s="255"/>
      <c r="J450" s="255"/>
      <c r="K450" s="255"/>
      <c r="L450" s="277">
        <v>23359</v>
      </c>
      <c r="M450" s="277">
        <v>11750</v>
      </c>
      <c r="N450" s="210">
        <v>16000</v>
      </c>
      <c r="O450" s="210">
        <v>16000</v>
      </c>
      <c r="P450" s="209">
        <v>16000</v>
      </c>
      <c r="Q450" s="209">
        <v>16000</v>
      </c>
      <c r="R450" s="209">
        <v>16000</v>
      </c>
      <c r="S450" s="209">
        <v>16000</v>
      </c>
      <c r="T450" s="209">
        <v>16000</v>
      </c>
      <c r="U450" s="611"/>
      <c r="V450" s="252"/>
      <c r="W450" s="252"/>
    </row>
    <row r="451" spans="1:23" ht="24" customHeight="1">
      <c r="A451" s="320" t="s">
        <v>1250</v>
      </c>
      <c r="B451" s="321"/>
      <c r="C451" s="255"/>
      <c r="D451" s="320" t="s">
        <v>987</v>
      </c>
      <c r="E451" s="321"/>
      <c r="F451" s="255"/>
      <c r="G451" s="255"/>
      <c r="H451" s="255"/>
      <c r="I451" s="255"/>
      <c r="J451" s="255"/>
      <c r="K451" s="255"/>
      <c r="L451" s="277">
        <v>24140</v>
      </c>
      <c r="M451" s="277">
        <v>30960</v>
      </c>
      <c r="N451" s="210">
        <v>0</v>
      </c>
      <c r="O451" s="210">
        <v>0</v>
      </c>
      <c r="P451" s="209">
        <v>0</v>
      </c>
      <c r="Q451" s="209">
        <v>0</v>
      </c>
      <c r="R451" s="209">
        <v>0</v>
      </c>
      <c r="S451" s="209">
        <v>0</v>
      </c>
      <c r="T451" s="209">
        <v>0</v>
      </c>
      <c r="U451" s="611"/>
      <c r="V451" s="187"/>
      <c r="W451" s="252"/>
    </row>
    <row r="452" spans="1:23" ht="24" customHeight="1">
      <c r="A452" s="320" t="s">
        <v>1325</v>
      </c>
      <c r="B452" s="255"/>
      <c r="C452" s="255"/>
      <c r="D452" s="320" t="s">
        <v>303</v>
      </c>
      <c r="E452" s="255"/>
      <c r="F452" s="255"/>
      <c r="G452" s="255"/>
      <c r="H452" s="255"/>
      <c r="I452" s="255"/>
      <c r="J452" s="255"/>
      <c r="K452" s="255"/>
      <c r="L452" s="277">
        <v>0</v>
      </c>
      <c r="M452" s="277">
        <v>12264</v>
      </c>
      <c r="N452" s="210">
        <v>0</v>
      </c>
      <c r="O452" s="210">
        <v>0</v>
      </c>
      <c r="P452" s="209">
        <v>0</v>
      </c>
      <c r="Q452" s="209">
        <v>0</v>
      </c>
      <c r="R452" s="209">
        <v>0</v>
      </c>
      <c r="S452" s="209">
        <v>0</v>
      </c>
      <c r="T452" s="209">
        <v>0</v>
      </c>
      <c r="U452" s="611"/>
    </row>
    <row r="453" spans="1:23" ht="24" customHeight="1">
      <c r="A453" s="512" t="s">
        <v>1311</v>
      </c>
      <c r="B453" s="255"/>
      <c r="C453" s="255"/>
      <c r="D453" s="320" t="s">
        <v>312</v>
      </c>
      <c r="E453" s="255"/>
      <c r="F453" s="255"/>
      <c r="G453" s="255"/>
      <c r="H453" s="255"/>
      <c r="I453" s="255"/>
      <c r="J453" s="255"/>
      <c r="K453" s="255"/>
      <c r="L453" s="277">
        <v>6600</v>
      </c>
      <c r="M453" s="277">
        <v>3400</v>
      </c>
      <c r="N453" s="210">
        <v>6500</v>
      </c>
      <c r="O453" s="210">
        <v>6500</v>
      </c>
      <c r="P453" s="209">
        <v>6500</v>
      </c>
      <c r="Q453" s="209">
        <v>6500</v>
      </c>
      <c r="R453" s="209">
        <v>6500</v>
      </c>
      <c r="S453" s="209">
        <v>6500</v>
      </c>
      <c r="T453" s="209">
        <v>6500</v>
      </c>
      <c r="U453" s="611"/>
    </row>
    <row r="454" spans="1:23" ht="24" customHeight="1">
      <c r="A454" s="320" t="s">
        <v>1312</v>
      </c>
      <c r="B454" s="321"/>
      <c r="C454" s="255"/>
      <c r="D454" s="320" t="s">
        <v>1020</v>
      </c>
      <c r="E454" s="321"/>
      <c r="F454" s="255"/>
      <c r="G454" s="255"/>
      <c r="H454" s="255"/>
      <c r="I454" s="255"/>
      <c r="J454" s="255"/>
      <c r="K454" s="255"/>
      <c r="L454" s="262">
        <v>27060</v>
      </c>
      <c r="M454" s="262">
        <v>16390</v>
      </c>
      <c r="N454" s="210">
        <v>24500</v>
      </c>
      <c r="O454" s="210">
        <v>24500</v>
      </c>
      <c r="P454" s="209">
        <v>24500</v>
      </c>
      <c r="Q454" s="209">
        <v>24500</v>
      </c>
      <c r="R454" s="209">
        <v>24500</v>
      </c>
      <c r="S454" s="209">
        <v>24500</v>
      </c>
      <c r="T454" s="209">
        <v>24500</v>
      </c>
      <c r="U454" s="611"/>
      <c r="V454" s="190"/>
      <c r="W454" s="252"/>
    </row>
    <row r="455" spans="1:23" ht="24" customHeight="1">
      <c r="A455" s="320" t="s">
        <v>1314</v>
      </c>
      <c r="B455" s="321"/>
      <c r="C455" s="255"/>
      <c r="D455" s="320" t="s">
        <v>1059</v>
      </c>
      <c r="E455" s="321"/>
      <c r="F455" s="255"/>
      <c r="G455" s="255"/>
      <c r="H455" s="255"/>
      <c r="I455" s="255"/>
      <c r="J455" s="255"/>
      <c r="K455" s="255"/>
      <c r="L455" s="277">
        <v>3300</v>
      </c>
      <c r="M455" s="277">
        <v>1650</v>
      </c>
      <c r="N455" s="210">
        <v>2275</v>
      </c>
      <c r="O455" s="210">
        <v>2275</v>
      </c>
      <c r="P455" s="209">
        <v>2275</v>
      </c>
      <c r="Q455" s="209">
        <v>2275</v>
      </c>
      <c r="R455" s="209">
        <v>2275</v>
      </c>
      <c r="S455" s="209">
        <v>2275</v>
      </c>
      <c r="T455" s="209">
        <v>2275</v>
      </c>
      <c r="U455" s="611"/>
      <c r="V455" s="447"/>
      <c r="W455" s="252"/>
    </row>
    <row r="456" spans="1:23" ht="24" customHeight="1">
      <c r="A456" s="320" t="s">
        <v>1315</v>
      </c>
      <c r="B456" s="321"/>
      <c r="C456" s="255"/>
      <c r="D456" s="746" t="s">
        <v>304</v>
      </c>
      <c r="E456" s="746"/>
      <c r="F456" s="746"/>
      <c r="G456" s="746"/>
      <c r="H456" s="746"/>
      <c r="I456" s="746"/>
      <c r="J456" s="746"/>
      <c r="K456" s="746"/>
      <c r="L456" s="262">
        <v>6949</v>
      </c>
      <c r="M456" s="262">
        <v>7569</v>
      </c>
      <c r="N456" s="186">
        <v>5000</v>
      </c>
      <c r="O456" s="186">
        <v>7000</v>
      </c>
      <c r="P456" s="185">
        <v>7000</v>
      </c>
      <c r="Q456" s="185">
        <v>7000</v>
      </c>
      <c r="R456" s="185">
        <v>7000</v>
      </c>
      <c r="S456" s="185">
        <v>7000</v>
      </c>
      <c r="T456" s="185">
        <v>7000</v>
      </c>
      <c r="U456" s="611"/>
      <c r="W456" s="252"/>
    </row>
    <row r="457" spans="1:23" ht="24" customHeight="1">
      <c r="A457" s="320" t="s">
        <v>1316</v>
      </c>
      <c r="B457" s="321"/>
      <c r="C457" s="255"/>
      <c r="D457" s="746" t="s">
        <v>978</v>
      </c>
      <c r="E457" s="746"/>
      <c r="F457" s="746"/>
      <c r="G457" s="746"/>
      <c r="H457" s="746"/>
      <c r="I457" s="746"/>
      <c r="J457" s="746"/>
      <c r="K457" s="746"/>
      <c r="L457" s="262">
        <v>790</v>
      </c>
      <c r="M457" s="262">
        <v>684</v>
      </c>
      <c r="N457" s="186">
        <v>750</v>
      </c>
      <c r="O457" s="186">
        <v>750</v>
      </c>
      <c r="P457" s="185">
        <v>750</v>
      </c>
      <c r="Q457" s="185">
        <v>750</v>
      </c>
      <c r="R457" s="185">
        <v>750</v>
      </c>
      <c r="S457" s="185">
        <v>750</v>
      </c>
      <c r="T457" s="185">
        <v>750</v>
      </c>
      <c r="U457" s="611"/>
      <c r="W457" s="252"/>
    </row>
    <row r="458" spans="1:23" ht="24" customHeight="1">
      <c r="A458" s="320" t="s">
        <v>1317</v>
      </c>
      <c r="B458" s="321"/>
      <c r="C458" s="255"/>
      <c r="D458" s="746" t="s">
        <v>720</v>
      </c>
      <c r="E458" s="746"/>
      <c r="F458" s="746"/>
      <c r="G458" s="746"/>
      <c r="H458" s="746"/>
      <c r="I458" s="746"/>
      <c r="J458" s="746"/>
      <c r="K458" s="746"/>
      <c r="L458" s="262">
        <v>9000</v>
      </c>
      <c r="M458" s="262">
        <v>0</v>
      </c>
      <c r="N458" s="186">
        <v>5000</v>
      </c>
      <c r="O458" s="186">
        <v>5000</v>
      </c>
      <c r="P458" s="185">
        <v>5000</v>
      </c>
      <c r="Q458" s="185">
        <v>5000</v>
      </c>
      <c r="R458" s="185">
        <v>5000</v>
      </c>
      <c r="S458" s="185">
        <v>5000</v>
      </c>
      <c r="T458" s="185">
        <v>5000</v>
      </c>
      <c r="U458" s="611"/>
      <c r="W458" s="252"/>
    </row>
    <row r="459" spans="1:23" ht="24" customHeight="1">
      <c r="A459" s="320" t="s">
        <v>1318</v>
      </c>
      <c r="B459" s="255"/>
      <c r="C459" s="255"/>
      <c r="D459" s="320" t="s">
        <v>307</v>
      </c>
      <c r="E459" s="255"/>
      <c r="F459" s="255"/>
      <c r="G459" s="255"/>
      <c r="H459" s="255"/>
      <c r="I459" s="255"/>
      <c r="J459" s="255"/>
      <c r="K459" s="255"/>
      <c r="L459" s="277">
        <v>6725</v>
      </c>
      <c r="M459" s="277">
        <v>12845</v>
      </c>
      <c r="N459" s="210">
        <v>6000</v>
      </c>
      <c r="O459" s="210">
        <v>1361</v>
      </c>
      <c r="P459" s="209">
        <v>6000</v>
      </c>
      <c r="Q459" s="209">
        <v>6000</v>
      </c>
      <c r="R459" s="209">
        <v>6000</v>
      </c>
      <c r="S459" s="209">
        <v>6000</v>
      </c>
      <c r="T459" s="209">
        <v>6000</v>
      </c>
      <c r="U459" s="611"/>
    </row>
    <row r="460" spans="1:23" ht="24" customHeight="1">
      <c r="A460" s="320" t="s">
        <v>1319</v>
      </c>
      <c r="B460" s="255"/>
      <c r="C460" s="255"/>
      <c r="D460" s="320" t="s">
        <v>1104</v>
      </c>
      <c r="E460" s="566"/>
      <c r="F460" s="566"/>
      <c r="G460" s="566"/>
      <c r="H460" s="566"/>
      <c r="I460" s="566"/>
      <c r="J460" s="566"/>
      <c r="K460" s="566"/>
      <c r="L460" s="277">
        <v>0</v>
      </c>
      <c r="M460" s="277">
        <v>0</v>
      </c>
      <c r="N460" s="210">
        <v>49058</v>
      </c>
      <c r="O460" s="210">
        <v>49058</v>
      </c>
      <c r="P460" s="209">
        <f>78867+25-100+128000-107500-1900+25+11488-1135+85500+11000-623</f>
        <v>203647</v>
      </c>
      <c r="Q460" s="209">
        <f>78867+25-100+63000-75000-1900+25-2000+83000+11000-10000</f>
        <v>146917</v>
      </c>
      <c r="R460" s="209">
        <f>78866+25-100+1+63000-75000-1900+25-2000+83000+11000-10000</f>
        <v>146917</v>
      </c>
      <c r="S460" s="209">
        <f>78866+25-100+1+63000-75000-1900+25-2000+83000+11000-10000</f>
        <v>146917</v>
      </c>
      <c r="T460" s="209">
        <f>78866+25-100+1+63000-75000-1900+25-2000+83000+11000-10000</f>
        <v>146917</v>
      </c>
      <c r="U460" s="611"/>
    </row>
    <row r="461" spans="1:23" ht="24" customHeight="1">
      <c r="A461" s="320" t="s">
        <v>1320</v>
      </c>
      <c r="B461" s="255"/>
      <c r="C461" s="255"/>
      <c r="D461" s="320" t="s">
        <v>1106</v>
      </c>
      <c r="E461" s="566"/>
      <c r="F461" s="566"/>
      <c r="G461" s="566"/>
      <c r="H461" s="566"/>
      <c r="I461" s="566"/>
      <c r="J461" s="566"/>
      <c r="K461" s="566"/>
      <c r="L461" s="277">
        <v>0</v>
      </c>
      <c r="M461" s="277">
        <v>144650</v>
      </c>
      <c r="N461" s="210">
        <v>97370</v>
      </c>
      <c r="O461" s="210">
        <v>97370</v>
      </c>
      <c r="P461" s="209">
        <f>42295+9000+500+98000-30000-70000-8980+500-30356+4000+149599-822-320</f>
        <v>163416</v>
      </c>
      <c r="Q461" s="209">
        <f>42295+9000+500+98000-30000-70000-8980+500</f>
        <v>41315</v>
      </c>
      <c r="R461" s="209">
        <f>42295+9000+500-2000-8980+500</f>
        <v>41315</v>
      </c>
      <c r="S461" s="209">
        <f>42295+9000+500-2000-8980+500</f>
        <v>41315</v>
      </c>
      <c r="T461" s="209">
        <f>42295+9000+500-2000-8980+500</f>
        <v>41315</v>
      </c>
      <c r="U461" s="611"/>
    </row>
    <row r="462" spans="1:23" ht="24" customHeight="1">
      <c r="A462" s="320" t="s">
        <v>1321</v>
      </c>
      <c r="B462" s="430"/>
      <c r="C462" s="430"/>
      <c r="D462" s="320" t="s">
        <v>1225</v>
      </c>
      <c r="E462" s="566"/>
      <c r="F462" s="566"/>
      <c r="G462" s="566"/>
      <c r="H462" s="566"/>
      <c r="I462" s="566"/>
      <c r="J462" s="566"/>
      <c r="K462" s="566"/>
      <c r="L462" s="277">
        <v>0</v>
      </c>
      <c r="M462" s="277">
        <v>0</v>
      </c>
      <c r="N462" s="210">
        <v>109650</v>
      </c>
      <c r="O462" s="210">
        <v>109650</v>
      </c>
      <c r="P462" s="209">
        <v>0</v>
      </c>
      <c r="Q462" s="209">
        <f>137775-137775</f>
        <v>0</v>
      </c>
      <c r="R462" s="209">
        <v>0</v>
      </c>
      <c r="S462" s="209">
        <f>155775-155775</f>
        <v>0</v>
      </c>
      <c r="T462" s="209">
        <f>155775-155775</f>
        <v>0</v>
      </c>
      <c r="U462" s="611"/>
    </row>
    <row r="463" spans="1:23" ht="24" customHeight="1">
      <c r="A463" s="320" t="s">
        <v>1322</v>
      </c>
      <c r="B463" s="321"/>
      <c r="C463" s="255"/>
      <c r="D463" s="321" t="s">
        <v>1064</v>
      </c>
      <c r="E463" s="321"/>
      <c r="F463" s="321"/>
      <c r="G463" s="321"/>
      <c r="H463" s="321"/>
      <c r="I463" s="321"/>
      <c r="J463" s="321"/>
      <c r="K463" s="321"/>
      <c r="L463" s="262">
        <v>37</v>
      </c>
      <c r="M463" s="262">
        <v>0</v>
      </c>
      <c r="N463" s="186">
        <v>0</v>
      </c>
      <c r="O463" s="186">
        <v>0</v>
      </c>
      <c r="P463" s="185">
        <v>0</v>
      </c>
      <c r="Q463" s="185">
        <v>0</v>
      </c>
      <c r="R463" s="185">
        <v>0</v>
      </c>
      <c r="S463" s="185">
        <v>0</v>
      </c>
      <c r="T463" s="185">
        <v>0</v>
      </c>
      <c r="U463" s="611"/>
      <c r="W463" s="252"/>
    </row>
    <row r="464" spans="1:23" ht="24" customHeight="1">
      <c r="A464" s="320" t="s">
        <v>1323</v>
      </c>
      <c r="B464" s="255"/>
      <c r="C464" s="255"/>
      <c r="D464" s="320" t="s">
        <v>1061</v>
      </c>
      <c r="E464" s="255"/>
      <c r="F464" s="255"/>
      <c r="G464" s="255"/>
      <c r="H464" s="255"/>
      <c r="I464" s="255"/>
      <c r="J464" s="255"/>
      <c r="K464" s="255"/>
      <c r="L464" s="277">
        <v>17</v>
      </c>
      <c r="M464" s="277">
        <v>0</v>
      </c>
      <c r="N464" s="210">
        <v>0</v>
      </c>
      <c r="O464" s="210">
        <v>0</v>
      </c>
      <c r="P464" s="209">
        <v>0</v>
      </c>
      <c r="Q464" s="209">
        <v>0</v>
      </c>
      <c r="R464" s="209">
        <v>0</v>
      </c>
      <c r="S464" s="209">
        <v>0</v>
      </c>
      <c r="T464" s="209">
        <v>0</v>
      </c>
      <c r="U464" s="611"/>
    </row>
    <row r="465" spans="1:23" ht="24" customHeight="1">
      <c r="A465" s="320" t="s">
        <v>1324</v>
      </c>
      <c r="B465" s="321"/>
      <c r="C465" s="255"/>
      <c r="D465" s="769" t="s">
        <v>1062</v>
      </c>
      <c r="E465" s="769"/>
      <c r="F465" s="769"/>
      <c r="G465" s="769"/>
      <c r="H465" s="769"/>
      <c r="I465" s="769"/>
      <c r="J465" s="769"/>
      <c r="K465" s="769"/>
      <c r="L465" s="264">
        <v>513</v>
      </c>
      <c r="M465" s="264">
        <v>446</v>
      </c>
      <c r="N465" s="189">
        <v>450</v>
      </c>
      <c r="O465" s="189">
        <v>275</v>
      </c>
      <c r="P465" s="188">
        <v>250</v>
      </c>
      <c r="Q465" s="188">
        <v>250</v>
      </c>
      <c r="R465" s="188">
        <v>250</v>
      </c>
      <c r="S465" s="188">
        <v>250</v>
      </c>
      <c r="T465" s="188">
        <v>250</v>
      </c>
      <c r="U465" s="611"/>
      <c r="W465" s="252"/>
    </row>
    <row r="466" spans="1:23" ht="24" customHeight="1">
      <c r="A466" s="320" t="s">
        <v>1331</v>
      </c>
      <c r="B466" s="321"/>
      <c r="C466" s="255"/>
      <c r="D466" s="746" t="s">
        <v>1063</v>
      </c>
      <c r="E466" s="746"/>
      <c r="F466" s="746"/>
      <c r="G466" s="746"/>
      <c r="H466" s="746"/>
      <c r="I466" s="746"/>
      <c r="J466" s="746"/>
      <c r="K466" s="746"/>
      <c r="L466" s="265">
        <v>0</v>
      </c>
      <c r="M466" s="265">
        <v>50000</v>
      </c>
      <c r="N466" s="195">
        <v>50000</v>
      </c>
      <c r="O466" s="195">
        <v>99000</v>
      </c>
      <c r="P466" s="192">
        <v>0</v>
      </c>
      <c r="Q466" s="192">
        <v>0</v>
      </c>
      <c r="R466" s="192">
        <v>0</v>
      </c>
      <c r="S466" s="192">
        <v>0</v>
      </c>
      <c r="T466" s="192">
        <v>0</v>
      </c>
      <c r="U466" s="611"/>
      <c r="V466" s="199"/>
      <c r="W466" s="252"/>
    </row>
    <row r="467" spans="1:23" ht="24" customHeight="1">
      <c r="A467" s="320" t="s">
        <v>1326</v>
      </c>
      <c r="B467" s="255"/>
      <c r="C467" s="255"/>
      <c r="D467" s="320" t="s">
        <v>1065</v>
      </c>
      <c r="E467" s="255"/>
      <c r="F467" s="255"/>
      <c r="G467" s="255"/>
      <c r="H467" s="255"/>
      <c r="I467" s="255"/>
      <c r="J467" s="255"/>
      <c r="K467" s="255"/>
      <c r="L467" s="265">
        <v>0</v>
      </c>
      <c r="M467" s="265">
        <v>4064</v>
      </c>
      <c r="N467" s="195">
        <v>0</v>
      </c>
      <c r="O467" s="195">
        <v>0</v>
      </c>
      <c r="P467" s="192">
        <v>0</v>
      </c>
      <c r="Q467" s="192">
        <v>0</v>
      </c>
      <c r="R467" s="192">
        <v>0</v>
      </c>
      <c r="S467" s="192">
        <v>0</v>
      </c>
      <c r="T467" s="192">
        <v>0</v>
      </c>
      <c r="U467" s="611"/>
    </row>
    <row r="468" spans="1:23" ht="24" customHeight="1">
      <c r="A468" s="320" t="s">
        <v>1327</v>
      </c>
      <c r="B468" s="255"/>
      <c r="C468" s="255"/>
      <c r="D468" s="320" t="s">
        <v>1060</v>
      </c>
      <c r="E468" s="416"/>
      <c r="F468" s="416"/>
      <c r="G468" s="416"/>
      <c r="H468" s="416"/>
      <c r="I468" s="416"/>
      <c r="J468" s="416"/>
      <c r="K468" s="416"/>
      <c r="L468" s="268">
        <v>966</v>
      </c>
      <c r="M468" s="268">
        <v>930</v>
      </c>
      <c r="N468" s="197">
        <v>1000</v>
      </c>
      <c r="O468" s="197">
        <v>1721</v>
      </c>
      <c r="P468" s="196">
        <v>1000</v>
      </c>
      <c r="Q468" s="196">
        <v>1000</v>
      </c>
      <c r="R468" s="196">
        <v>1000</v>
      </c>
      <c r="S468" s="196">
        <v>1000</v>
      </c>
      <c r="T468" s="196">
        <v>1000</v>
      </c>
      <c r="U468" s="611"/>
    </row>
    <row r="469" spans="1:23" ht="24" customHeight="1">
      <c r="A469" s="320" t="s">
        <v>1328</v>
      </c>
      <c r="B469" s="255"/>
      <c r="C469" s="255"/>
      <c r="D469" s="320" t="s">
        <v>1192</v>
      </c>
      <c r="E469" s="255"/>
      <c r="F469" s="255"/>
      <c r="G469" s="255"/>
      <c r="H469" s="255"/>
      <c r="I469" s="255"/>
      <c r="J469" s="255"/>
      <c r="K469" s="255"/>
      <c r="L469" s="264">
        <v>200</v>
      </c>
      <c r="M469" s="264">
        <v>7825</v>
      </c>
      <c r="N469" s="189">
        <v>1000</v>
      </c>
      <c r="O469" s="189">
        <v>1000</v>
      </c>
      <c r="P469" s="188">
        <v>1000</v>
      </c>
      <c r="Q469" s="188">
        <v>1000</v>
      </c>
      <c r="R469" s="188">
        <v>1000</v>
      </c>
      <c r="S469" s="188">
        <v>1000</v>
      </c>
      <c r="T469" s="188">
        <v>1000</v>
      </c>
      <c r="U469" s="611"/>
    </row>
    <row r="470" spans="1:23" ht="24" customHeight="1">
      <c r="A470" s="320" t="s">
        <v>1329</v>
      </c>
      <c r="B470" s="430"/>
      <c r="C470" s="430"/>
      <c r="D470" s="320" t="s">
        <v>1207</v>
      </c>
      <c r="E470" s="430"/>
      <c r="F470" s="430"/>
      <c r="G470" s="430"/>
      <c r="H470" s="430"/>
      <c r="I470" s="430"/>
      <c r="J470" s="430"/>
      <c r="K470" s="430"/>
      <c r="L470" s="265">
        <v>0</v>
      </c>
      <c r="M470" s="265">
        <v>0</v>
      </c>
      <c r="N470" s="195">
        <v>60000</v>
      </c>
      <c r="O470" s="195">
        <v>60000</v>
      </c>
      <c r="P470" s="192">
        <v>35000</v>
      </c>
      <c r="Q470" s="192">
        <f>30000-30000</f>
        <v>0</v>
      </c>
      <c r="R470" s="192">
        <v>0</v>
      </c>
      <c r="S470" s="192">
        <v>0</v>
      </c>
      <c r="T470" s="192">
        <v>0</v>
      </c>
      <c r="U470" s="611"/>
    </row>
    <row r="471" spans="1:23" ht="24" customHeight="1">
      <c r="A471" s="320" t="s">
        <v>1330</v>
      </c>
      <c r="B471" s="255"/>
      <c r="C471" s="255"/>
      <c r="D471" s="320" t="s">
        <v>308</v>
      </c>
      <c r="E471" s="255"/>
      <c r="F471" s="255"/>
      <c r="G471" s="255"/>
      <c r="H471" s="255"/>
      <c r="I471" s="255"/>
      <c r="J471" s="255"/>
      <c r="K471" s="255"/>
      <c r="L471" s="270">
        <v>2500</v>
      </c>
      <c r="M471" s="270">
        <v>0</v>
      </c>
      <c r="N471" s="202">
        <v>0</v>
      </c>
      <c r="O471" s="202">
        <v>0</v>
      </c>
      <c r="P471" s="201">
        <v>0</v>
      </c>
      <c r="Q471" s="201">
        <v>0</v>
      </c>
      <c r="R471" s="201">
        <v>0</v>
      </c>
      <c r="S471" s="201">
        <v>0</v>
      </c>
      <c r="T471" s="201">
        <v>0</v>
      </c>
      <c r="U471" s="611"/>
    </row>
    <row r="472" spans="1:23" ht="15" customHeight="1">
      <c r="A472" s="255"/>
      <c r="B472" s="255"/>
      <c r="C472" s="255"/>
      <c r="D472" s="255"/>
      <c r="E472" s="255"/>
      <c r="F472" s="255"/>
      <c r="G472" s="255"/>
      <c r="H472" s="255"/>
      <c r="I472" s="255"/>
      <c r="J472" s="255"/>
      <c r="K472" s="255"/>
      <c r="L472" s="271"/>
      <c r="M472" s="271"/>
      <c r="N472" s="204"/>
      <c r="O472" s="204"/>
      <c r="P472" s="203"/>
      <c r="Q472" s="203"/>
      <c r="R472" s="203"/>
      <c r="S472" s="203"/>
      <c r="T472" s="203"/>
    </row>
    <row r="473" spans="1:23" s="255" customFormat="1" ht="24" customHeight="1">
      <c r="K473" s="324" t="s">
        <v>595</v>
      </c>
      <c r="L473" s="273">
        <f t="shared" ref="L473" si="140">SUM(L450:L472)</f>
        <v>112156</v>
      </c>
      <c r="M473" s="273">
        <f t="shared" ref="M473:T473" si="141">SUM(M450:M472)</f>
        <v>305427</v>
      </c>
      <c r="N473" s="274">
        <f t="shared" ref="N473:O473" si="142">SUM(N450:N472)</f>
        <v>434553</v>
      </c>
      <c r="O473" s="274">
        <f t="shared" si="142"/>
        <v>481460</v>
      </c>
      <c r="P473" s="273">
        <f t="shared" si="141"/>
        <v>472338</v>
      </c>
      <c r="Q473" s="273">
        <f t="shared" si="141"/>
        <v>258507</v>
      </c>
      <c r="R473" s="273">
        <f t="shared" si="141"/>
        <v>258507</v>
      </c>
      <c r="S473" s="273">
        <f t="shared" ref="S473" si="143">SUM(S450:S472)</f>
        <v>258507</v>
      </c>
      <c r="T473" s="273">
        <f t="shared" si="141"/>
        <v>258507</v>
      </c>
      <c r="U473" s="542"/>
      <c r="V473" s="320"/>
    </row>
    <row r="474" spans="1:23" ht="15" customHeight="1">
      <c r="A474" s="255"/>
      <c r="B474" s="255"/>
      <c r="C474" s="255"/>
      <c r="D474" s="255"/>
      <c r="E474" s="255"/>
      <c r="F474" s="255"/>
      <c r="G474" s="255"/>
      <c r="H474" s="255"/>
      <c r="I474" s="255"/>
      <c r="J474" s="255"/>
      <c r="K474" s="255"/>
      <c r="L474" s="271"/>
      <c r="M474" s="271"/>
      <c r="N474" s="204"/>
      <c r="O474" s="204"/>
      <c r="P474" s="203"/>
      <c r="Q474" s="203"/>
      <c r="R474" s="203"/>
      <c r="S474" s="203"/>
      <c r="T474" s="203"/>
    </row>
    <row r="475" spans="1:23" ht="24" customHeight="1">
      <c r="A475" s="324" t="s">
        <v>817</v>
      </c>
      <c r="B475" s="255"/>
      <c r="C475" s="255"/>
      <c r="D475" s="255"/>
      <c r="E475" s="255"/>
      <c r="F475" s="255"/>
      <c r="G475" s="255"/>
      <c r="H475" s="255"/>
      <c r="I475" s="255"/>
      <c r="J475" s="255"/>
      <c r="K475" s="255"/>
      <c r="L475" s="271"/>
      <c r="M475" s="271"/>
      <c r="N475" s="204"/>
      <c r="O475" s="204"/>
      <c r="P475" s="203"/>
      <c r="Q475" s="203"/>
      <c r="R475" s="203"/>
      <c r="S475" s="203"/>
      <c r="T475" s="203"/>
    </row>
    <row r="476" spans="1:23" ht="24" customHeight="1">
      <c r="A476" s="320" t="s">
        <v>1246</v>
      </c>
      <c r="B476" s="452"/>
      <c r="C476" s="452"/>
      <c r="D476" s="452" t="s">
        <v>957</v>
      </c>
      <c r="E476" s="452"/>
      <c r="F476" s="452"/>
      <c r="G476" s="452"/>
      <c r="H476" s="452"/>
      <c r="I476" s="452"/>
      <c r="J476" s="452"/>
      <c r="K476" s="452"/>
      <c r="L476" s="271">
        <v>0</v>
      </c>
      <c r="M476" s="271">
        <v>4800</v>
      </c>
      <c r="N476" s="204">
        <v>0</v>
      </c>
      <c r="O476" s="204">
        <v>0</v>
      </c>
      <c r="P476" s="203">
        <v>0</v>
      </c>
      <c r="Q476" s="203">
        <v>0</v>
      </c>
      <c r="R476" s="203">
        <v>0</v>
      </c>
      <c r="S476" s="203">
        <v>0</v>
      </c>
      <c r="T476" s="203">
        <v>0</v>
      </c>
    </row>
    <row r="477" spans="1:23" ht="24" customHeight="1">
      <c r="A477" s="320" t="s">
        <v>1021</v>
      </c>
      <c r="B477" s="255"/>
      <c r="C477" s="255"/>
      <c r="D477" s="320" t="s">
        <v>10</v>
      </c>
      <c r="E477" s="255"/>
      <c r="F477" s="255"/>
      <c r="G477" s="255"/>
      <c r="H477" s="255"/>
      <c r="I477" s="255"/>
      <c r="J477" s="255"/>
      <c r="K477" s="255"/>
      <c r="L477" s="264">
        <v>3982</v>
      </c>
      <c r="M477" s="264">
        <v>95</v>
      </c>
      <c r="N477" s="189">
        <v>1667</v>
      </c>
      <c r="O477" s="189">
        <v>1667</v>
      </c>
      <c r="P477" s="188">
        <f t="shared" ref="P477:S477" si="144">ROUND(P458/3,0)</f>
        <v>1667</v>
      </c>
      <c r="Q477" s="188">
        <f t="shared" si="144"/>
        <v>1667</v>
      </c>
      <c r="R477" s="188">
        <f t="shared" si="144"/>
        <v>1667</v>
      </c>
      <c r="S477" s="188">
        <f t="shared" si="144"/>
        <v>1667</v>
      </c>
      <c r="T477" s="188">
        <f t="shared" ref="T477" si="145">ROUND(T458/3,0)</f>
        <v>1667</v>
      </c>
      <c r="V477" s="187"/>
    </row>
    <row r="478" spans="1:23" ht="24" customHeight="1">
      <c r="A478" s="320" t="s">
        <v>1022</v>
      </c>
      <c r="B478" s="321"/>
      <c r="C478" s="321"/>
      <c r="D478" s="320" t="s">
        <v>1170</v>
      </c>
      <c r="E478" s="422"/>
      <c r="F478" s="422"/>
      <c r="G478" s="422"/>
      <c r="H478" s="422"/>
      <c r="I478" s="422"/>
      <c r="J478" s="422"/>
      <c r="K478" s="422"/>
      <c r="L478" s="281">
        <v>13728</v>
      </c>
      <c r="M478" s="281">
        <v>17626</v>
      </c>
      <c r="N478" s="225">
        <v>16000</v>
      </c>
      <c r="O478" s="225">
        <v>16000</v>
      </c>
      <c r="P478" s="217">
        <v>16000</v>
      </c>
      <c r="Q478" s="217">
        <v>16000</v>
      </c>
      <c r="R478" s="217">
        <v>16000</v>
      </c>
      <c r="S478" s="217">
        <v>16000</v>
      </c>
      <c r="T478" s="217">
        <v>16000</v>
      </c>
    </row>
    <row r="479" spans="1:23" ht="24" customHeight="1">
      <c r="A479" s="320" t="s">
        <v>1023</v>
      </c>
      <c r="B479" s="323"/>
      <c r="C479" s="323"/>
      <c r="D479" s="320" t="s">
        <v>305</v>
      </c>
      <c r="E479" s="323"/>
      <c r="F479" s="323"/>
      <c r="G479" s="323"/>
      <c r="H479" s="323"/>
      <c r="I479" s="323"/>
      <c r="J479" s="323"/>
      <c r="K479" s="323"/>
      <c r="L479" s="262">
        <v>105725</v>
      </c>
      <c r="M479" s="262">
        <v>0</v>
      </c>
      <c r="N479" s="186">
        <v>30000</v>
      </c>
      <c r="O479" s="186">
        <v>32865</v>
      </c>
      <c r="P479" s="185">
        <v>35000</v>
      </c>
      <c r="Q479" s="185">
        <v>0</v>
      </c>
      <c r="R479" s="185">
        <v>0</v>
      </c>
      <c r="S479" s="185">
        <v>0</v>
      </c>
      <c r="T479" s="185">
        <v>0</v>
      </c>
      <c r="V479" s="187"/>
    </row>
    <row r="480" spans="1:23" ht="24" customHeight="1">
      <c r="A480" s="320" t="s">
        <v>1024</v>
      </c>
      <c r="B480" s="323"/>
      <c r="C480" s="323"/>
      <c r="D480" s="320" t="s">
        <v>306</v>
      </c>
      <c r="E480" s="323"/>
      <c r="F480" s="323"/>
      <c r="G480" s="323"/>
      <c r="H480" s="323"/>
      <c r="I480" s="323"/>
      <c r="J480" s="323"/>
      <c r="K480" s="323"/>
      <c r="L480" s="279">
        <v>39451</v>
      </c>
      <c r="M480" s="279">
        <v>93750</v>
      </c>
      <c r="N480" s="214">
        <v>80000</v>
      </c>
      <c r="O480" s="214">
        <v>79377</v>
      </c>
      <c r="P480" s="213">
        <f>58000+58000+53000</f>
        <v>169000</v>
      </c>
      <c r="Q480" s="213">
        <f>53000+53000+53000</f>
        <v>159000</v>
      </c>
      <c r="R480" s="213">
        <f t="shared" ref="R480:T480" si="146">53000+53000+53000</f>
        <v>159000</v>
      </c>
      <c r="S480" s="213">
        <f t="shared" si="146"/>
        <v>159000</v>
      </c>
      <c r="T480" s="213">
        <f t="shared" si="146"/>
        <v>159000</v>
      </c>
      <c r="V480" s="187"/>
    </row>
    <row r="481" spans="1:22" s="255" customFormat="1" ht="24" customHeight="1">
      <c r="K481" s="324"/>
      <c r="L481" s="290">
        <f t="shared" ref="L481" si="147">SUM(L476:L480)</f>
        <v>162886</v>
      </c>
      <c r="M481" s="290">
        <f t="shared" ref="M481:T481" si="148">SUM(M476:M480)</f>
        <v>116271</v>
      </c>
      <c r="N481" s="291">
        <f t="shared" si="148"/>
        <v>127667</v>
      </c>
      <c r="O481" s="291">
        <f t="shared" ref="O481" si="149">SUM(O476:O480)</f>
        <v>129909</v>
      </c>
      <c r="P481" s="290">
        <f t="shared" ref="P481:S481" si="150">SUM(P476:P480)</f>
        <v>221667</v>
      </c>
      <c r="Q481" s="290">
        <f t="shared" si="150"/>
        <v>176667</v>
      </c>
      <c r="R481" s="290">
        <f t="shared" si="150"/>
        <v>176667</v>
      </c>
      <c r="S481" s="290">
        <f t="shared" si="150"/>
        <v>176667</v>
      </c>
      <c r="T481" s="290">
        <f t="shared" si="148"/>
        <v>176667</v>
      </c>
      <c r="U481" s="542"/>
      <c r="V481" s="697"/>
    </row>
    <row r="482" spans="1:22" ht="15" customHeight="1">
      <c r="A482" s="255"/>
      <c r="B482" s="255"/>
      <c r="C482" s="255"/>
      <c r="D482" s="255"/>
      <c r="E482" s="255"/>
      <c r="F482" s="255"/>
      <c r="G482" s="255"/>
      <c r="H482" s="255"/>
      <c r="I482" s="255"/>
      <c r="J482" s="255"/>
      <c r="K482" s="255"/>
      <c r="L482" s="290"/>
      <c r="M482" s="290"/>
      <c r="N482" s="229"/>
      <c r="O482" s="229"/>
      <c r="P482" s="228"/>
      <c r="Q482" s="228"/>
      <c r="R482" s="228"/>
      <c r="S482" s="228"/>
      <c r="T482" s="228"/>
    </row>
    <row r="483" spans="1:22" ht="24" customHeight="1">
      <c r="A483" s="324" t="s">
        <v>903</v>
      </c>
      <c r="B483" s="255"/>
      <c r="C483" s="255"/>
      <c r="D483" s="255"/>
      <c r="E483" s="255"/>
      <c r="F483" s="255"/>
      <c r="G483" s="255"/>
      <c r="H483" s="255"/>
      <c r="I483" s="255"/>
      <c r="J483" s="255"/>
      <c r="K483" s="255"/>
      <c r="L483" s="290"/>
      <c r="M483" s="290"/>
      <c r="N483" s="229"/>
      <c r="O483" s="229"/>
      <c r="P483" s="228"/>
      <c r="Q483" s="228"/>
      <c r="R483" s="228"/>
      <c r="S483" s="228"/>
      <c r="T483" s="228"/>
    </row>
    <row r="484" spans="1:22" ht="24" customHeight="1">
      <c r="A484" s="320" t="s">
        <v>1025</v>
      </c>
      <c r="B484" s="255"/>
      <c r="C484" s="255"/>
      <c r="D484" s="255" t="s">
        <v>957</v>
      </c>
      <c r="E484" s="255"/>
      <c r="F484" s="255"/>
      <c r="G484" s="255"/>
      <c r="H484" s="255"/>
      <c r="I484" s="255"/>
      <c r="J484" s="255"/>
      <c r="K484" s="255"/>
      <c r="L484" s="265">
        <v>24140</v>
      </c>
      <c r="M484" s="265">
        <v>25360</v>
      </c>
      <c r="N484" s="195">
        <v>0</v>
      </c>
      <c r="O484" s="195">
        <v>0</v>
      </c>
      <c r="P484" s="192">
        <v>0</v>
      </c>
      <c r="Q484" s="192">
        <v>0</v>
      </c>
      <c r="R484" s="192">
        <v>0</v>
      </c>
      <c r="S484" s="192">
        <v>0</v>
      </c>
      <c r="T484" s="192">
        <v>0</v>
      </c>
      <c r="U484" s="401"/>
      <c r="V484" s="187"/>
    </row>
    <row r="485" spans="1:22" ht="24" customHeight="1">
      <c r="A485" s="320" t="s">
        <v>1026</v>
      </c>
      <c r="B485" s="321"/>
      <c r="C485" s="321"/>
      <c r="D485" s="320" t="s">
        <v>49</v>
      </c>
      <c r="E485" s="321"/>
      <c r="F485" s="321"/>
      <c r="G485" s="321"/>
      <c r="H485" s="321"/>
      <c r="I485" s="321"/>
      <c r="J485" s="321"/>
      <c r="K485" s="321"/>
      <c r="L485" s="265">
        <v>2058</v>
      </c>
      <c r="M485" s="265">
        <v>1569</v>
      </c>
      <c r="N485" s="195">
        <v>2000</v>
      </c>
      <c r="O485" s="195">
        <v>539</v>
      </c>
      <c r="P485" s="192">
        <v>2000</v>
      </c>
      <c r="Q485" s="192">
        <v>2000</v>
      </c>
      <c r="R485" s="192">
        <v>2000</v>
      </c>
      <c r="S485" s="192">
        <v>2000</v>
      </c>
      <c r="T485" s="192">
        <v>2000</v>
      </c>
    </row>
    <row r="486" spans="1:22" ht="24" customHeight="1">
      <c r="A486" s="320" t="s">
        <v>1027</v>
      </c>
      <c r="B486" s="321"/>
      <c r="C486" s="321"/>
      <c r="D486" s="320" t="s">
        <v>91</v>
      </c>
      <c r="E486" s="321"/>
      <c r="F486" s="321"/>
      <c r="G486" s="321"/>
      <c r="H486" s="321"/>
      <c r="I486" s="321"/>
      <c r="J486" s="321"/>
      <c r="K486" s="321"/>
      <c r="L486" s="264">
        <v>0</v>
      </c>
      <c r="M486" s="264">
        <v>0</v>
      </c>
      <c r="N486" s="189">
        <v>4500</v>
      </c>
      <c r="O486" s="189">
        <v>4500</v>
      </c>
      <c r="P486" s="188">
        <v>4500</v>
      </c>
      <c r="Q486" s="188">
        <v>4500</v>
      </c>
      <c r="R486" s="188">
        <v>4500</v>
      </c>
      <c r="S486" s="188">
        <v>4500</v>
      </c>
      <c r="T486" s="188">
        <v>4500</v>
      </c>
    </row>
    <row r="487" spans="1:22" ht="24" customHeight="1">
      <c r="A487" s="320" t="s">
        <v>1028</v>
      </c>
      <c r="B487" s="321"/>
      <c r="C487" s="321"/>
      <c r="D487" s="320" t="s">
        <v>12</v>
      </c>
      <c r="E487" s="415"/>
      <c r="F487" s="415"/>
      <c r="G487" s="415"/>
      <c r="H487" s="415"/>
      <c r="I487" s="415"/>
      <c r="J487" s="415"/>
      <c r="K487" s="415"/>
      <c r="L487" s="277">
        <v>0</v>
      </c>
      <c r="M487" s="277">
        <v>0</v>
      </c>
      <c r="N487" s="210">
        <v>2000</v>
      </c>
      <c r="O487" s="210">
        <v>2000</v>
      </c>
      <c r="P487" s="209">
        <v>2000</v>
      </c>
      <c r="Q487" s="209">
        <v>2000</v>
      </c>
      <c r="R487" s="209">
        <v>2000</v>
      </c>
      <c r="S487" s="209">
        <v>2000</v>
      </c>
      <c r="T487" s="209">
        <v>2000</v>
      </c>
    </row>
    <row r="488" spans="1:22" ht="24" customHeight="1">
      <c r="A488" s="320" t="s">
        <v>1029</v>
      </c>
      <c r="B488" s="323"/>
      <c r="C488" s="323"/>
      <c r="D488" s="320" t="s">
        <v>305</v>
      </c>
      <c r="E488" s="323"/>
      <c r="F488" s="323"/>
      <c r="G488" s="323"/>
      <c r="H488" s="323"/>
      <c r="I488" s="323"/>
      <c r="J488" s="323"/>
      <c r="K488" s="323"/>
      <c r="L488" s="265">
        <v>0</v>
      </c>
      <c r="M488" s="265">
        <v>48689</v>
      </c>
      <c r="N488" s="189">
        <v>60000</v>
      </c>
      <c r="O488" s="189">
        <v>60000</v>
      </c>
      <c r="P488" s="188">
        <v>0</v>
      </c>
      <c r="Q488" s="188">
        <v>0</v>
      </c>
      <c r="R488" s="188">
        <v>0</v>
      </c>
      <c r="S488" s="188">
        <v>0</v>
      </c>
      <c r="T488" s="188">
        <v>0</v>
      </c>
      <c r="V488" s="187"/>
    </row>
    <row r="489" spans="1:22" ht="24" customHeight="1">
      <c r="A489" s="320" t="s">
        <v>1030</v>
      </c>
      <c r="B489" s="323"/>
      <c r="C489" s="323"/>
      <c r="D489" s="320" t="s">
        <v>306</v>
      </c>
      <c r="E489" s="323"/>
      <c r="F489" s="323"/>
      <c r="G489" s="323"/>
      <c r="H489" s="323"/>
      <c r="I489" s="323"/>
      <c r="J489" s="323"/>
      <c r="K489" s="323"/>
      <c r="L489" s="264">
        <v>0</v>
      </c>
      <c r="M489" s="264">
        <v>0</v>
      </c>
      <c r="N489" s="189">
        <v>100000</v>
      </c>
      <c r="O489" s="189">
        <v>100000</v>
      </c>
      <c r="P489" s="188">
        <f>150000+35000</f>
        <v>185000</v>
      </c>
      <c r="Q489" s="188">
        <f>100000-100000</f>
        <v>0</v>
      </c>
      <c r="R489" s="188">
        <v>0</v>
      </c>
      <c r="S489" s="188">
        <v>0</v>
      </c>
      <c r="T489" s="188">
        <v>0</v>
      </c>
      <c r="V489" s="187"/>
    </row>
    <row r="490" spans="1:22" ht="24" customHeight="1">
      <c r="A490" s="425" t="s">
        <v>1051</v>
      </c>
      <c r="B490" s="323"/>
      <c r="C490" s="323"/>
      <c r="D490" s="320"/>
      <c r="E490" s="323"/>
      <c r="F490" s="323"/>
      <c r="G490" s="323"/>
      <c r="H490" s="323"/>
      <c r="I490" s="323"/>
      <c r="J490" s="323"/>
      <c r="K490" s="323"/>
      <c r="L490" s="264"/>
      <c r="M490" s="264"/>
      <c r="N490" s="189"/>
      <c r="O490" s="189"/>
      <c r="P490" s="188"/>
      <c r="Q490" s="188"/>
      <c r="R490" s="188"/>
      <c r="S490" s="188"/>
      <c r="T490" s="188"/>
      <c r="V490" s="190"/>
    </row>
    <row r="491" spans="1:22" ht="24" customHeight="1">
      <c r="A491" s="320" t="s">
        <v>1031</v>
      </c>
      <c r="B491" s="323"/>
      <c r="C491" s="323"/>
      <c r="D491" s="320" t="s">
        <v>1117</v>
      </c>
      <c r="E491" s="323"/>
      <c r="F491" s="323"/>
      <c r="G491" s="323"/>
      <c r="H491" s="323"/>
      <c r="I491" s="323"/>
      <c r="J491" s="323"/>
      <c r="K491" s="323"/>
      <c r="L491" s="264">
        <v>30074</v>
      </c>
      <c r="M491" s="264">
        <v>33184</v>
      </c>
      <c r="N491" s="189">
        <v>37924</v>
      </c>
      <c r="O491" s="189">
        <f>ROUND(39111.84*0.969621,0)</f>
        <v>37924</v>
      </c>
      <c r="P491" s="188">
        <f>ROUND(40880.11*0.969621,0)</f>
        <v>39638</v>
      </c>
      <c r="Q491" s="188">
        <f>ROUND(42728.32*0.969621,0)</f>
        <v>41430</v>
      </c>
      <c r="R491" s="188">
        <f>ROUND(44660.1*0.969621,0)</f>
        <v>43303</v>
      </c>
      <c r="S491" s="188">
        <f>ROUND(46679.21*0.969621,0)</f>
        <v>45261</v>
      </c>
      <c r="T491" s="188">
        <f>ROUND(48789.6*0.969621,0)</f>
        <v>47307</v>
      </c>
    </row>
    <row r="492" spans="1:22" ht="24" customHeight="1">
      <c r="A492" s="320" t="s">
        <v>1032</v>
      </c>
      <c r="B492" s="323"/>
      <c r="C492" s="323"/>
      <c r="D492" s="320" t="s">
        <v>309</v>
      </c>
      <c r="E492" s="323"/>
      <c r="F492" s="323"/>
      <c r="G492" s="323"/>
      <c r="H492" s="323"/>
      <c r="I492" s="323"/>
      <c r="J492" s="323"/>
      <c r="K492" s="323"/>
      <c r="L492" s="279">
        <v>52221</v>
      </c>
      <c r="M492" s="279">
        <v>42870</v>
      </c>
      <c r="N492" s="214">
        <v>32892</v>
      </c>
      <c r="O492" s="214">
        <f>ROUND(33922.49*0.969621,0)</f>
        <v>32892</v>
      </c>
      <c r="P492" s="213">
        <f>ROUND(32154.22*0.969621,0)</f>
        <v>31177</v>
      </c>
      <c r="Q492" s="213">
        <f>ROUND(30306*0.969621,0)</f>
        <v>29385</v>
      </c>
      <c r="R492" s="213">
        <f>ROUND(28374.23*0.969621,0)</f>
        <v>27512</v>
      </c>
      <c r="S492" s="213">
        <f>ROUND(26355.12*0.969621,0)</f>
        <v>25554</v>
      </c>
      <c r="T492" s="213">
        <f>ROUND(24244.72*0.969621,0)</f>
        <v>23508</v>
      </c>
    </row>
    <row r="493" spans="1:22" s="255" customFormat="1" ht="24" customHeight="1">
      <c r="K493" s="324"/>
      <c r="L493" s="290">
        <f t="shared" ref="L493" si="151">SUM(L484:L492)</f>
        <v>108493</v>
      </c>
      <c r="M493" s="290">
        <f t="shared" ref="M493:T493" si="152">SUM(M484:M492)</f>
        <v>151672</v>
      </c>
      <c r="N493" s="291">
        <f t="shared" ref="N493:O493" si="153">SUM(N484:N492)</f>
        <v>239316</v>
      </c>
      <c r="O493" s="291">
        <f t="shared" si="153"/>
        <v>237855</v>
      </c>
      <c r="P493" s="290">
        <f t="shared" ref="P493:S493" si="154">SUM(P484:P492)</f>
        <v>264315</v>
      </c>
      <c r="Q493" s="290">
        <f t="shared" si="154"/>
        <v>79315</v>
      </c>
      <c r="R493" s="290">
        <f t="shared" si="154"/>
        <v>79315</v>
      </c>
      <c r="S493" s="290">
        <f t="shared" si="154"/>
        <v>79315</v>
      </c>
      <c r="T493" s="290">
        <f t="shared" si="152"/>
        <v>79315</v>
      </c>
      <c r="U493" s="542"/>
      <c r="V493" s="697"/>
    </row>
    <row r="494" spans="1:22" ht="15" customHeight="1">
      <c r="A494" s="255"/>
      <c r="B494" s="255"/>
      <c r="C494" s="255"/>
      <c r="D494" s="255"/>
      <c r="E494" s="255"/>
      <c r="F494" s="255"/>
      <c r="G494" s="255"/>
      <c r="H494" s="255"/>
      <c r="I494" s="255"/>
      <c r="J494" s="255"/>
      <c r="K494" s="255"/>
      <c r="L494" s="290"/>
      <c r="M494" s="290"/>
      <c r="N494" s="229"/>
      <c r="O494" s="229"/>
      <c r="P494" s="228"/>
      <c r="Q494" s="228"/>
      <c r="R494" s="228"/>
      <c r="S494" s="228"/>
      <c r="T494" s="228"/>
    </row>
    <row r="495" spans="1:22" ht="24" customHeight="1">
      <c r="A495" s="324" t="s">
        <v>1052</v>
      </c>
      <c r="B495" s="255"/>
      <c r="C495" s="255"/>
      <c r="D495" s="255"/>
      <c r="E495" s="255"/>
      <c r="F495" s="255"/>
      <c r="G495" s="255"/>
      <c r="H495" s="255"/>
      <c r="I495" s="255"/>
      <c r="J495" s="255"/>
      <c r="K495" s="255"/>
      <c r="L495" s="290"/>
      <c r="M495" s="290"/>
      <c r="N495" s="229"/>
      <c r="O495" s="229"/>
      <c r="P495" s="228"/>
      <c r="Q495" s="228"/>
      <c r="R495" s="228"/>
      <c r="S495" s="228"/>
      <c r="T495" s="228"/>
    </row>
    <row r="496" spans="1:22" ht="24" customHeight="1">
      <c r="A496" s="320" t="s">
        <v>1247</v>
      </c>
      <c r="B496" s="452"/>
      <c r="C496" s="452"/>
      <c r="D496" s="452" t="s">
        <v>957</v>
      </c>
      <c r="E496" s="452"/>
      <c r="F496" s="452"/>
      <c r="G496" s="452"/>
      <c r="H496" s="452"/>
      <c r="I496" s="452"/>
      <c r="J496" s="452"/>
      <c r="K496" s="452"/>
      <c r="L496" s="285">
        <v>0</v>
      </c>
      <c r="M496" s="285">
        <v>800</v>
      </c>
      <c r="N496" s="224">
        <v>0</v>
      </c>
      <c r="O496" s="224">
        <v>0</v>
      </c>
      <c r="P496" s="223">
        <v>0</v>
      </c>
      <c r="Q496" s="223">
        <v>0</v>
      </c>
      <c r="R496" s="223">
        <v>0</v>
      </c>
      <c r="S496" s="223">
        <v>0</v>
      </c>
      <c r="T496" s="223">
        <v>0</v>
      </c>
    </row>
    <row r="497" spans="1:22" ht="24" customHeight="1">
      <c r="A497" s="320" t="s">
        <v>1464</v>
      </c>
      <c r="B497" s="323"/>
      <c r="C497" s="323"/>
      <c r="D497" s="320" t="s">
        <v>1461</v>
      </c>
      <c r="E497" s="323"/>
      <c r="F497" s="323"/>
      <c r="G497" s="323"/>
      <c r="H497" s="323"/>
      <c r="I497" s="323"/>
      <c r="J497" s="323"/>
      <c r="K497" s="323"/>
      <c r="L497" s="265">
        <v>0</v>
      </c>
      <c r="M497" s="265">
        <v>0</v>
      </c>
      <c r="N497" s="195">
        <v>0</v>
      </c>
      <c r="O497" s="195">
        <f>2753-48</f>
        <v>2705</v>
      </c>
      <c r="P497" s="192">
        <v>0</v>
      </c>
      <c r="Q497" s="192">
        <v>0</v>
      </c>
      <c r="R497" s="192">
        <v>0</v>
      </c>
      <c r="S497" s="192">
        <v>0</v>
      </c>
      <c r="T497" s="192">
        <v>0</v>
      </c>
    </row>
    <row r="498" spans="1:22" ht="24" customHeight="1">
      <c r="A498" s="320" t="s">
        <v>1033</v>
      </c>
      <c r="B498" s="323"/>
      <c r="C498" s="323"/>
      <c r="D498" s="320" t="s">
        <v>305</v>
      </c>
      <c r="E498" s="323"/>
      <c r="F498" s="323"/>
      <c r="G498" s="323"/>
      <c r="H498" s="323"/>
      <c r="I498" s="323"/>
      <c r="J498" s="323"/>
      <c r="K498" s="323"/>
      <c r="L498" s="265">
        <v>17284</v>
      </c>
      <c r="M498" s="265">
        <v>12143</v>
      </c>
      <c r="N498" s="186">
        <v>32000</v>
      </c>
      <c r="O498" s="186">
        <v>0</v>
      </c>
      <c r="P498" s="185">
        <f>22000+6000+15000+35000</f>
        <v>78000</v>
      </c>
      <c r="Q498" s="185">
        <v>0</v>
      </c>
      <c r="R498" s="185">
        <v>0</v>
      </c>
      <c r="S498" s="185">
        <v>0</v>
      </c>
      <c r="T498" s="185">
        <v>0</v>
      </c>
      <c r="V498" s="187"/>
    </row>
    <row r="499" spans="1:22" ht="24" customHeight="1">
      <c r="A499" s="320" t="s">
        <v>1209</v>
      </c>
      <c r="B499" s="323"/>
      <c r="C499" s="323"/>
      <c r="D499" s="320" t="s">
        <v>1239</v>
      </c>
      <c r="E499" s="323"/>
      <c r="F499" s="323"/>
      <c r="G499" s="323"/>
      <c r="H499" s="323"/>
      <c r="I499" s="323"/>
      <c r="J499" s="323"/>
      <c r="K499" s="323"/>
      <c r="L499" s="285">
        <v>0</v>
      </c>
      <c r="M499" s="285">
        <v>0</v>
      </c>
      <c r="N499" s="224">
        <v>108000</v>
      </c>
      <c r="O499" s="224">
        <f>108000-26050</f>
        <v>81950</v>
      </c>
      <c r="P499" s="223">
        <v>0</v>
      </c>
      <c r="Q499" s="223">
        <v>0</v>
      </c>
      <c r="R499" s="223">
        <v>0</v>
      </c>
      <c r="S499" s="223">
        <v>0</v>
      </c>
      <c r="T499" s="223">
        <v>0</v>
      </c>
    </row>
    <row r="500" spans="1:22" ht="24" customHeight="1">
      <c r="A500" s="320" t="s">
        <v>1450</v>
      </c>
      <c r="B500" s="323"/>
      <c r="C500" s="323"/>
      <c r="D500" s="320" t="s">
        <v>1453</v>
      </c>
      <c r="E500" s="323"/>
      <c r="F500" s="323"/>
      <c r="G500" s="323"/>
      <c r="H500" s="323"/>
      <c r="I500" s="323"/>
      <c r="J500" s="323"/>
      <c r="K500" s="323"/>
      <c r="L500" s="285">
        <v>0</v>
      </c>
      <c r="M500" s="285">
        <v>0</v>
      </c>
      <c r="N500" s="224">
        <v>0</v>
      </c>
      <c r="O500" s="224">
        <v>0</v>
      </c>
      <c r="P500" s="223">
        <f>26050-1121</f>
        <v>24929</v>
      </c>
      <c r="Q500" s="223">
        <v>0</v>
      </c>
      <c r="R500" s="223">
        <v>0</v>
      </c>
      <c r="S500" s="223">
        <v>0</v>
      </c>
      <c r="T500" s="223">
        <v>0</v>
      </c>
    </row>
    <row r="501" spans="1:22" ht="24" customHeight="1">
      <c r="A501" s="320" t="s">
        <v>1208</v>
      </c>
      <c r="B501" s="323"/>
      <c r="C501" s="323"/>
      <c r="D501" s="320" t="s">
        <v>306</v>
      </c>
      <c r="E501" s="323"/>
      <c r="F501" s="323"/>
      <c r="G501" s="323"/>
      <c r="H501" s="323"/>
      <c r="I501" s="323"/>
      <c r="J501" s="323"/>
      <c r="K501" s="323"/>
      <c r="L501" s="265">
        <v>0</v>
      </c>
      <c r="M501" s="265">
        <v>0</v>
      </c>
      <c r="N501" s="186">
        <v>0</v>
      </c>
      <c r="O501" s="186">
        <v>32000</v>
      </c>
      <c r="P501" s="185">
        <v>25000</v>
      </c>
      <c r="Q501" s="185">
        <v>0</v>
      </c>
      <c r="R501" s="185">
        <v>0</v>
      </c>
      <c r="S501" s="185">
        <v>0</v>
      </c>
      <c r="T501" s="185">
        <v>0</v>
      </c>
      <c r="V501" s="187"/>
    </row>
    <row r="502" spans="1:22" ht="24" customHeight="1">
      <c r="A502" s="425" t="s">
        <v>1051</v>
      </c>
      <c r="B502" s="323"/>
      <c r="C502" s="323"/>
      <c r="D502" s="320"/>
      <c r="E502" s="323"/>
      <c r="F502" s="323"/>
      <c r="G502" s="323"/>
      <c r="H502" s="323"/>
      <c r="I502" s="323"/>
      <c r="J502" s="323"/>
      <c r="K502" s="323"/>
      <c r="L502" s="264"/>
      <c r="M502" s="264"/>
      <c r="N502" s="189"/>
      <c r="O502" s="189"/>
      <c r="P502" s="188"/>
      <c r="Q502" s="188"/>
      <c r="R502" s="188"/>
      <c r="S502" s="188"/>
      <c r="T502" s="188"/>
      <c r="V502" s="190"/>
    </row>
    <row r="503" spans="1:22" ht="24" customHeight="1">
      <c r="A503" s="320" t="s">
        <v>1036</v>
      </c>
      <c r="B503" s="323"/>
      <c r="C503" s="323"/>
      <c r="D503" s="320" t="s">
        <v>1117</v>
      </c>
      <c r="E503" s="323"/>
      <c r="F503" s="323"/>
      <c r="G503" s="323"/>
      <c r="H503" s="323"/>
      <c r="I503" s="323"/>
      <c r="J503" s="323"/>
      <c r="K503" s="323"/>
      <c r="L503" s="264">
        <v>0</v>
      </c>
      <c r="M503" s="264">
        <v>1040</v>
      </c>
      <c r="N503" s="189">
        <v>1188</v>
      </c>
      <c r="O503" s="189">
        <f>ROUND(39111.84*0.030379,0)</f>
        <v>1188</v>
      </c>
      <c r="P503" s="188">
        <f>ROUND(40880.11*0.030379,0)</f>
        <v>1242</v>
      </c>
      <c r="Q503" s="188">
        <f>ROUND(42728.32*0.030379,0)</f>
        <v>1298</v>
      </c>
      <c r="R503" s="188">
        <f>ROUND(44660.1*0.030379,0)</f>
        <v>1357</v>
      </c>
      <c r="S503" s="188">
        <f>ROUND(46679.21*0.030379,0)</f>
        <v>1418</v>
      </c>
      <c r="T503" s="188">
        <f>ROUND(48789.6*0.030379,0)</f>
        <v>1482</v>
      </c>
      <c r="V503" s="187"/>
    </row>
    <row r="504" spans="1:22" ht="24" customHeight="1">
      <c r="A504" s="320" t="s">
        <v>1037</v>
      </c>
      <c r="B504" s="323"/>
      <c r="C504" s="323"/>
      <c r="D504" s="320" t="s">
        <v>309</v>
      </c>
      <c r="E504" s="323"/>
      <c r="F504" s="323"/>
      <c r="G504" s="323"/>
      <c r="H504" s="323"/>
      <c r="I504" s="323"/>
      <c r="J504" s="323"/>
      <c r="K504" s="323"/>
      <c r="L504" s="264">
        <v>0</v>
      </c>
      <c r="M504" s="264">
        <v>1343</v>
      </c>
      <c r="N504" s="189">
        <v>1031</v>
      </c>
      <c r="O504" s="189">
        <f>ROUND(33922.49*0.030379,0)</f>
        <v>1031</v>
      </c>
      <c r="P504" s="188">
        <f>ROUND(32154.22*0.030379,0)</f>
        <v>977</v>
      </c>
      <c r="Q504" s="188">
        <f>ROUND(30306*0.030379,0)</f>
        <v>921</v>
      </c>
      <c r="R504" s="188">
        <f>ROUND(28374.23*0.030379,0)</f>
        <v>862</v>
      </c>
      <c r="S504" s="188">
        <f>ROUND(26355.12*0.030379,0)</f>
        <v>801</v>
      </c>
      <c r="T504" s="188">
        <f>ROUND(24244.72*0.030379,0)</f>
        <v>737</v>
      </c>
      <c r="V504" s="187"/>
    </row>
    <row r="505" spans="1:22" ht="24" customHeight="1">
      <c r="A505" s="320" t="s">
        <v>1034</v>
      </c>
      <c r="B505" s="323"/>
      <c r="C505" s="323"/>
      <c r="D505" s="320" t="s">
        <v>310</v>
      </c>
      <c r="E505" s="323"/>
      <c r="F505" s="323"/>
      <c r="G505" s="323"/>
      <c r="H505" s="323"/>
      <c r="I505" s="323"/>
      <c r="J505" s="323"/>
      <c r="K505" s="323"/>
      <c r="L505" s="265">
        <v>2500</v>
      </c>
      <c r="M505" s="265">
        <v>0</v>
      </c>
      <c r="N505" s="186">
        <v>0</v>
      </c>
      <c r="O505" s="186">
        <v>0</v>
      </c>
      <c r="P505" s="185">
        <v>0</v>
      </c>
      <c r="Q505" s="185">
        <v>0</v>
      </c>
      <c r="R505" s="185">
        <v>0</v>
      </c>
      <c r="S505" s="185">
        <v>0</v>
      </c>
      <c r="T505" s="185">
        <v>0</v>
      </c>
    </row>
    <row r="506" spans="1:22" ht="24" customHeight="1">
      <c r="A506" s="320" t="s">
        <v>1035</v>
      </c>
      <c r="B506" s="323"/>
      <c r="C506" s="323"/>
      <c r="D506" s="320" t="s">
        <v>979</v>
      </c>
      <c r="E506" s="323"/>
      <c r="F506" s="323"/>
      <c r="G506" s="323"/>
      <c r="H506" s="323"/>
      <c r="I506" s="323"/>
      <c r="J506" s="323"/>
      <c r="K506" s="323"/>
      <c r="L506" s="270">
        <v>0</v>
      </c>
      <c r="M506" s="270">
        <v>50000</v>
      </c>
      <c r="N506" s="212">
        <v>50000</v>
      </c>
      <c r="O506" s="212">
        <v>0</v>
      </c>
      <c r="P506" s="200">
        <f t="shared" ref="P506:S506" si="155">P765</f>
        <v>0</v>
      </c>
      <c r="Q506" s="200">
        <f t="shared" si="155"/>
        <v>0</v>
      </c>
      <c r="R506" s="200">
        <f t="shared" si="155"/>
        <v>0</v>
      </c>
      <c r="S506" s="200">
        <f t="shared" si="155"/>
        <v>0</v>
      </c>
      <c r="T506" s="200">
        <f t="shared" ref="T506" si="156">T765</f>
        <v>0</v>
      </c>
      <c r="V506" s="190"/>
    </row>
    <row r="507" spans="1:22" s="255" customFormat="1" ht="24" customHeight="1">
      <c r="K507" s="324"/>
      <c r="L507" s="273">
        <f t="shared" ref="L507" si="157">SUM(L496:L506)</f>
        <v>19784</v>
      </c>
      <c r="M507" s="273">
        <f t="shared" ref="M507:T507" si="158">SUM(M496:M506)</f>
        <v>65326</v>
      </c>
      <c r="N507" s="274">
        <f t="shared" si="158"/>
        <v>192219</v>
      </c>
      <c r="O507" s="274">
        <f t="shared" ref="O507" si="159">SUM(O496:O506)</f>
        <v>118874</v>
      </c>
      <c r="P507" s="273">
        <f>SUM(P496:P506)</f>
        <v>130148</v>
      </c>
      <c r="Q507" s="273">
        <f t="shared" ref="Q507:S507" si="160">SUM(Q496:Q506)</f>
        <v>2219</v>
      </c>
      <c r="R507" s="273">
        <f t="shared" si="160"/>
        <v>2219</v>
      </c>
      <c r="S507" s="273">
        <f t="shared" si="160"/>
        <v>2219</v>
      </c>
      <c r="T507" s="273">
        <f t="shared" si="158"/>
        <v>2219</v>
      </c>
      <c r="U507" s="542"/>
      <c r="V507" s="697"/>
    </row>
    <row r="508" spans="1:22" s="621" customFormat="1" ht="24" customHeight="1">
      <c r="K508" s="324"/>
      <c r="L508" s="273"/>
      <c r="M508" s="273"/>
      <c r="N508" s="274"/>
      <c r="O508" s="274"/>
      <c r="P508" s="273"/>
      <c r="Q508" s="273"/>
      <c r="R508" s="273"/>
      <c r="S508" s="273"/>
      <c r="T508" s="273"/>
      <c r="U508" s="620"/>
    </row>
    <row r="509" spans="1:22" s="255" customFormat="1" ht="24" customHeight="1">
      <c r="K509" s="324" t="s">
        <v>598</v>
      </c>
      <c r="L509" s="290">
        <f t="shared" ref="L509:T509" si="161">L481+L493+L507</f>
        <v>291163</v>
      </c>
      <c r="M509" s="290">
        <f t="shared" si="161"/>
        <v>333269</v>
      </c>
      <c r="N509" s="291">
        <f t="shared" si="161"/>
        <v>559202</v>
      </c>
      <c r="O509" s="291">
        <f t="shared" si="161"/>
        <v>486638</v>
      </c>
      <c r="P509" s="290">
        <f t="shared" si="161"/>
        <v>616130</v>
      </c>
      <c r="Q509" s="290">
        <f t="shared" si="161"/>
        <v>258201</v>
      </c>
      <c r="R509" s="290">
        <f t="shared" si="161"/>
        <v>258201</v>
      </c>
      <c r="S509" s="290">
        <f t="shared" si="161"/>
        <v>258201</v>
      </c>
      <c r="T509" s="290">
        <f t="shared" si="161"/>
        <v>258201</v>
      </c>
      <c r="U509" s="542"/>
      <c r="V509" s="697"/>
    </row>
    <row r="510" spans="1:22" s="697" customFormat="1" ht="24" customHeight="1">
      <c r="K510" s="324"/>
      <c r="L510" s="290"/>
      <c r="M510" s="290"/>
      <c r="N510" s="291"/>
      <c r="O510" s="291"/>
      <c r="P510" s="290"/>
      <c r="Q510" s="290"/>
      <c r="R510" s="290"/>
      <c r="S510" s="290"/>
      <c r="T510" s="290"/>
      <c r="U510" s="694"/>
    </row>
    <row r="511" spans="1:22" s="255" customFormat="1" ht="24" customHeight="1">
      <c r="K511" s="324" t="s">
        <v>599</v>
      </c>
      <c r="L511" s="290">
        <f t="shared" ref="L511:T511" si="162">L473-L509</f>
        <v>-179007</v>
      </c>
      <c r="M511" s="290">
        <f t="shared" si="162"/>
        <v>-27842</v>
      </c>
      <c r="N511" s="291">
        <f t="shared" si="162"/>
        <v>-124649</v>
      </c>
      <c r="O511" s="291">
        <f t="shared" si="162"/>
        <v>-5178</v>
      </c>
      <c r="P511" s="290">
        <f t="shared" si="162"/>
        <v>-143792</v>
      </c>
      <c r="Q511" s="290">
        <f t="shared" si="162"/>
        <v>306</v>
      </c>
      <c r="R511" s="290">
        <f t="shared" si="162"/>
        <v>306</v>
      </c>
      <c r="S511" s="290">
        <f t="shared" si="162"/>
        <v>306</v>
      </c>
      <c r="T511" s="290">
        <f t="shared" si="162"/>
        <v>306</v>
      </c>
      <c r="U511" s="542"/>
      <c r="V511" s="697"/>
    </row>
    <row r="512" spans="1:22" s="697" customFormat="1" ht="24" customHeight="1">
      <c r="K512" s="324"/>
      <c r="L512" s="290"/>
      <c r="M512" s="290"/>
      <c r="N512" s="291"/>
      <c r="O512" s="291"/>
      <c r="P512" s="290"/>
      <c r="Q512" s="290"/>
      <c r="R512" s="290"/>
      <c r="S512" s="290"/>
      <c r="T512" s="290"/>
      <c r="U512" s="694"/>
    </row>
    <row r="513" spans="1:23" s="255" customFormat="1" ht="24" customHeight="1">
      <c r="C513" s="745" t="s">
        <v>1094</v>
      </c>
      <c r="D513" s="745"/>
      <c r="E513" s="745"/>
      <c r="F513" s="745"/>
      <c r="G513" s="745"/>
      <c r="H513" s="745"/>
      <c r="I513" s="745"/>
      <c r="J513" s="745"/>
      <c r="K513" s="745"/>
      <c r="L513" s="297">
        <v>106687</v>
      </c>
      <c r="M513" s="297">
        <v>39371</v>
      </c>
      <c r="N513" s="298">
        <v>0</v>
      </c>
      <c r="O513" s="298">
        <f>M513+(O473-O453-O454-O451-O455-O459-O464-O465-O466-O468-O471-O461-O470-O462)-O481-O476</f>
        <v>-11730</v>
      </c>
      <c r="P513" s="297">
        <f>O513+(P473-P453-P454-P451-P455-P459-P464-P465-P466-P468-P471-P461-P470-P462)-P481-P476</f>
        <v>0</v>
      </c>
      <c r="Q513" s="297">
        <f>P513+(Q473-Q453-Q454-Q451-Q455-Q459-Q464-Q465-Q466-Q468-Q471-Q461-Q470-Q462)-Q481-Q476</f>
        <v>0</v>
      </c>
      <c r="R513" s="297">
        <f>Q513+(R473-R453-R454-R451-R455-R459-R464-R465-R466-R468-R471-R461-R470-R462)-R481-R476</f>
        <v>0</v>
      </c>
      <c r="S513" s="297">
        <f>R513+(S473-S453-S454-S451-S455-S459-S464-S465-S466-S468-S471-S461-S470-S462)-S481-S476</f>
        <v>0</v>
      </c>
      <c r="T513" s="297">
        <f>S513+(T473-T453-T454-T451-T455-T459-T464-T465-T466-T468-T471-T461-T470-T462)-T481-T476</f>
        <v>0</v>
      </c>
      <c r="U513" s="542"/>
    </row>
    <row r="514" spans="1:23" s="255" customFormat="1" ht="15" customHeight="1">
      <c r="K514" s="324"/>
      <c r="L514" s="297"/>
      <c r="M514" s="297"/>
      <c r="N514" s="298"/>
      <c r="O514" s="298"/>
      <c r="P514" s="297"/>
      <c r="Q514" s="297"/>
      <c r="R514" s="297"/>
      <c r="S514" s="297"/>
      <c r="T514" s="297"/>
      <c r="U514" s="542"/>
    </row>
    <row r="515" spans="1:23" s="255" customFormat="1" ht="24" customHeight="1">
      <c r="C515" s="745" t="s">
        <v>1095</v>
      </c>
      <c r="D515" s="745"/>
      <c r="E515" s="745"/>
      <c r="F515" s="745"/>
      <c r="G515" s="745"/>
      <c r="H515" s="745"/>
      <c r="I515" s="745"/>
      <c r="J515" s="745"/>
      <c r="K515" s="745"/>
      <c r="L515" s="297">
        <v>22399</v>
      </c>
      <c r="M515" s="297">
        <v>74302</v>
      </c>
      <c r="N515" s="298">
        <v>0</v>
      </c>
      <c r="O515" s="298">
        <f>M515+(O473-O450-O452-O455-O456-O457-O458-O463-O465-O466-O469-O467-O460-O462-O451)-O493-O484</f>
        <v>27899</v>
      </c>
      <c r="P515" s="297">
        <f>O515+(P473-P450-P452-P455-P456-P457-P458-P463-P465-P466-P469-P467-P460-P462-P451)-P493-P484</f>
        <v>0</v>
      </c>
      <c r="Q515" s="297">
        <f>P515+(Q473-Q450-Q452-Q455-Q456-Q457-Q458-Q463-Q465-Q466-Q469-Q467-Q460-Q462-Q451)-Q493-Q484</f>
        <v>0</v>
      </c>
      <c r="R515" s="297">
        <f>Q515+(R473-R450-R452-R455-R456-R457-R458-R463-R465-R466-R469-R467-R460-R462-R451)-R493-R484</f>
        <v>0</v>
      </c>
      <c r="S515" s="297">
        <f>R515+(S473-S450-S452-S455-S456-S457-S458-S463-S465-S466-S469-S467-S460-S462-S451)-S493-S484</f>
        <v>0</v>
      </c>
      <c r="T515" s="297">
        <f>S515+(T473-T450-T452-T455-T456-T457-T458-T463-T465-T466-T469-T467-T460-T462-T451)-T493-T484</f>
        <v>0</v>
      </c>
      <c r="U515" s="542"/>
    </row>
    <row r="516" spans="1:23" s="255" customFormat="1" ht="15" customHeight="1">
      <c r="K516" s="324"/>
      <c r="L516" s="297"/>
      <c r="M516" s="297"/>
      <c r="N516" s="298"/>
      <c r="O516" s="298"/>
      <c r="P516" s="297"/>
      <c r="Q516" s="297"/>
      <c r="R516" s="297"/>
      <c r="S516" s="297"/>
      <c r="T516" s="297"/>
      <c r="U516" s="542"/>
    </row>
    <row r="517" spans="1:23" s="255" customFormat="1" ht="24" customHeight="1">
      <c r="C517" s="745" t="s">
        <v>1096</v>
      </c>
      <c r="D517" s="745"/>
      <c r="E517" s="745"/>
      <c r="F517" s="745"/>
      <c r="G517" s="745"/>
      <c r="H517" s="745"/>
      <c r="I517" s="745"/>
      <c r="J517" s="745"/>
      <c r="K517" s="745"/>
      <c r="L517" s="297">
        <v>46502</v>
      </c>
      <c r="M517" s="297">
        <v>34073</v>
      </c>
      <c r="N517" s="298">
        <v>0</v>
      </c>
      <c r="O517" s="298">
        <f>M517+(O473-O450-O452-O453-O454-O451-O456-O457-O458-O459-O463-O464-O469-O468-O471-O467-O460-O461-O470)-O507-O496</f>
        <v>126399</v>
      </c>
      <c r="P517" s="297">
        <f>O517+(P473-P450-P452-P453-P454-P451-P456-P457-P458-P459-P463-P464-P469-P468-P471-P467-P460-P461-P470)-P507-P496</f>
        <v>-1224</v>
      </c>
      <c r="Q517" s="297">
        <f>P517+(Q473-Q450-Q452-Q453-Q454-Q451-Q456-Q457-Q458-Q459-Q463-Q464-Q469-Q468-Q471-Q467-Q460-Q461-Q470)-Q507-Q496</f>
        <v>-918</v>
      </c>
      <c r="R517" s="297">
        <f>Q517+(R473-R450-R452-R453-R454-R451-R456-R457-R458-R459-R463-R464-R469-R468-R471-R467-R460-R461-R470)-R507-R496</f>
        <v>-612</v>
      </c>
      <c r="S517" s="297">
        <f>R517+(S473-S450-S452-S453-S454-S451-S456-S457-S458-S459-S463-S464-S469-S468-S471-S467-S460-S461-S470)-S507-S496</f>
        <v>-306</v>
      </c>
      <c r="T517" s="297">
        <f>S517+(T473-T450-T452-T453-T454-T451-T456-T457-T458-T459-T463-T464-T469-T468-T471-T467-T460-T461-T470)-T507-T496</f>
        <v>0</v>
      </c>
      <c r="U517" s="542"/>
    </row>
    <row r="518" spans="1:23" s="255" customFormat="1" ht="15" customHeight="1">
      <c r="K518" s="324"/>
      <c r="L518" s="290"/>
      <c r="M518" s="290"/>
      <c r="N518" s="291"/>
      <c r="O518" s="291"/>
      <c r="P518" s="290"/>
      <c r="Q518" s="290"/>
      <c r="R518" s="290"/>
      <c r="S518" s="290"/>
      <c r="T518" s="290"/>
      <c r="U518" s="542"/>
    </row>
    <row r="519" spans="1:23" s="255" customFormat="1" ht="24" customHeight="1" thickBot="1">
      <c r="K519" s="329" t="s">
        <v>601</v>
      </c>
      <c r="L519" s="300">
        <v>175588</v>
      </c>
      <c r="M519" s="300">
        <v>147746</v>
      </c>
      <c r="N519" s="301">
        <v>0</v>
      </c>
      <c r="O519" s="301">
        <f>O513+O515+O517</f>
        <v>142568</v>
      </c>
      <c r="P519" s="300">
        <f>P513+P515+P517</f>
        <v>-1224</v>
      </c>
      <c r="Q519" s="300">
        <f t="shared" ref="Q519:T519" si="163">Q513+Q515+Q517</f>
        <v>-918</v>
      </c>
      <c r="R519" s="300">
        <f t="shared" si="163"/>
        <v>-612</v>
      </c>
      <c r="S519" s="300">
        <f t="shared" si="163"/>
        <v>-306</v>
      </c>
      <c r="T519" s="300">
        <f t="shared" si="163"/>
        <v>0</v>
      </c>
      <c r="U519" s="542"/>
    </row>
    <row r="520" spans="1:23" ht="15" customHeight="1" thickTop="1">
      <c r="A520" s="255"/>
      <c r="B520" s="255"/>
      <c r="C520" s="255"/>
      <c r="D520" s="255"/>
      <c r="E520" s="255"/>
      <c r="F520" s="255"/>
      <c r="G520" s="255"/>
      <c r="H520" s="255"/>
      <c r="I520" s="255"/>
      <c r="J520" s="255"/>
      <c r="K520" s="255"/>
      <c r="L520" s="469"/>
      <c r="M520" s="469"/>
      <c r="N520" s="474"/>
      <c r="O520" s="474"/>
      <c r="P520" s="475"/>
      <c r="Q520" s="475"/>
      <c r="R520" s="475"/>
      <c r="S520" s="475"/>
      <c r="T520" s="475"/>
    </row>
    <row r="521" spans="1:23" ht="15" customHeight="1">
      <c r="A521" s="373"/>
      <c r="B521" s="373"/>
      <c r="C521" s="373"/>
      <c r="D521" s="373"/>
      <c r="E521" s="373"/>
      <c r="F521" s="373"/>
      <c r="G521" s="373"/>
      <c r="H521" s="373"/>
      <c r="I521" s="373"/>
      <c r="J521" s="373"/>
      <c r="K521" s="329"/>
      <c r="L521" s="469"/>
      <c r="M521" s="469"/>
      <c r="N521" s="476"/>
      <c r="O521" s="476"/>
      <c r="P521" s="477"/>
      <c r="Q521" s="477"/>
      <c r="R521" s="477"/>
      <c r="S521" s="477"/>
      <c r="T521" s="477"/>
    </row>
    <row r="522" spans="1:23" ht="24" customHeight="1">
      <c r="A522" s="331" t="s">
        <v>617</v>
      </c>
      <c r="B522" s="255"/>
      <c r="C522" s="255"/>
      <c r="D522" s="255"/>
      <c r="E522" s="255"/>
      <c r="F522" s="255"/>
      <c r="G522" s="255"/>
      <c r="H522" s="255"/>
      <c r="I522" s="255"/>
      <c r="J522" s="255"/>
      <c r="K522" s="255"/>
      <c r="L522" s="468"/>
      <c r="M522" s="468"/>
      <c r="N522" s="472"/>
      <c r="O522" s="472"/>
      <c r="P522" s="473"/>
      <c r="Q522" s="473"/>
      <c r="R522" s="473"/>
      <c r="S522" s="473"/>
      <c r="T522" s="473"/>
    </row>
    <row r="523" spans="1:23" ht="15" customHeight="1">
      <c r="A523" s="255"/>
      <c r="B523" s="255"/>
      <c r="C523" s="255"/>
      <c r="D523" s="255"/>
      <c r="E523" s="255"/>
      <c r="F523" s="255"/>
      <c r="G523" s="255"/>
      <c r="H523" s="255"/>
      <c r="I523" s="255"/>
      <c r="J523" s="255"/>
      <c r="K523" s="255"/>
      <c r="L523" s="468"/>
      <c r="M523" s="468"/>
      <c r="N523" s="472"/>
      <c r="O523" s="472"/>
      <c r="P523" s="473"/>
      <c r="Q523" s="473"/>
      <c r="R523" s="473"/>
      <c r="S523" s="473"/>
      <c r="T523" s="473"/>
    </row>
    <row r="524" spans="1:23" ht="24" customHeight="1">
      <c r="A524" s="430" t="s">
        <v>1216</v>
      </c>
      <c r="B524" s="255"/>
      <c r="C524" s="255"/>
      <c r="D524" s="606" t="s">
        <v>1430</v>
      </c>
      <c r="E524" s="255"/>
      <c r="F524" s="255"/>
      <c r="G524" s="255"/>
      <c r="H524" s="255"/>
      <c r="I524" s="255"/>
      <c r="J524" s="255"/>
      <c r="K524" s="255"/>
      <c r="L524" s="265">
        <v>324762</v>
      </c>
      <c r="M524" s="265">
        <v>315790</v>
      </c>
      <c r="N524" s="195">
        <v>329579</v>
      </c>
      <c r="O524" s="186">
        <v>327984</v>
      </c>
      <c r="P524" s="192">
        <v>165527</v>
      </c>
      <c r="Q524" s="192">
        <f>ROUND(P524/2,0)-61000</f>
        <v>21764</v>
      </c>
      <c r="R524" s="192">
        <f>ROUND(Q524/2,0)-10882</f>
        <v>0</v>
      </c>
      <c r="S524" s="192">
        <v>0</v>
      </c>
      <c r="T524" s="192">
        <v>0</v>
      </c>
      <c r="V524" s="487"/>
      <c r="W524" s="488"/>
    </row>
    <row r="525" spans="1:23" ht="24" customHeight="1">
      <c r="A525" s="255" t="s">
        <v>327</v>
      </c>
      <c r="B525" s="255"/>
      <c r="C525" s="255"/>
      <c r="D525" s="255" t="s">
        <v>328</v>
      </c>
      <c r="E525" s="255"/>
      <c r="F525" s="255"/>
      <c r="G525" s="255"/>
      <c r="H525" s="255"/>
      <c r="I525" s="255"/>
      <c r="J525" s="255"/>
      <c r="K525" s="255"/>
      <c r="L525" s="264">
        <v>4694</v>
      </c>
      <c r="M525" s="264">
        <v>5958</v>
      </c>
      <c r="N525" s="189">
        <v>2500</v>
      </c>
      <c r="O525" s="189">
        <v>2500</v>
      </c>
      <c r="P525" s="188">
        <v>4500</v>
      </c>
      <c r="Q525" s="188">
        <v>4500</v>
      </c>
      <c r="R525" s="188">
        <v>4500</v>
      </c>
      <c r="S525" s="188">
        <v>4500</v>
      </c>
      <c r="T525" s="188">
        <v>4500</v>
      </c>
    </row>
    <row r="526" spans="1:23" ht="24" customHeight="1">
      <c r="A526" s="320" t="s">
        <v>1251</v>
      </c>
      <c r="B526" s="451"/>
      <c r="C526" s="452"/>
      <c r="D526" s="320" t="s">
        <v>987</v>
      </c>
      <c r="E526" s="451"/>
      <c r="F526" s="452"/>
      <c r="G526" s="452"/>
      <c r="H526" s="452"/>
      <c r="I526" s="452"/>
      <c r="J526" s="452"/>
      <c r="K526" s="452"/>
      <c r="L526" s="264">
        <v>0</v>
      </c>
      <c r="M526" s="264">
        <v>400</v>
      </c>
      <c r="N526" s="189">
        <v>0</v>
      </c>
      <c r="O526" s="189">
        <v>0</v>
      </c>
      <c r="P526" s="188">
        <v>0</v>
      </c>
      <c r="Q526" s="188">
        <v>0</v>
      </c>
      <c r="R526" s="188">
        <v>0</v>
      </c>
      <c r="S526" s="188">
        <v>0</v>
      </c>
      <c r="T526" s="188">
        <v>0</v>
      </c>
    </row>
    <row r="527" spans="1:23" ht="24" customHeight="1">
      <c r="A527" s="255" t="s">
        <v>727</v>
      </c>
      <c r="B527" s="255"/>
      <c r="C527" s="255"/>
      <c r="D527" s="255" t="s">
        <v>6</v>
      </c>
      <c r="E527" s="255"/>
      <c r="F527" s="255"/>
      <c r="G527" s="255"/>
      <c r="H527" s="255"/>
      <c r="I527" s="255"/>
      <c r="J527" s="255"/>
      <c r="K527" s="255"/>
      <c r="L527" s="264">
        <v>610</v>
      </c>
      <c r="M527" s="264">
        <v>78</v>
      </c>
      <c r="N527" s="189">
        <v>100</v>
      </c>
      <c r="O527" s="189">
        <v>5</v>
      </c>
      <c r="P527" s="188">
        <v>0</v>
      </c>
      <c r="Q527" s="188">
        <v>0</v>
      </c>
      <c r="R527" s="188">
        <v>0</v>
      </c>
      <c r="S527" s="188">
        <v>0</v>
      </c>
      <c r="T527" s="188">
        <v>0</v>
      </c>
    </row>
    <row r="528" spans="1:23" ht="24" customHeight="1">
      <c r="A528" s="320" t="s">
        <v>329</v>
      </c>
      <c r="B528" s="321"/>
      <c r="C528" s="321"/>
      <c r="D528" s="320" t="s">
        <v>285</v>
      </c>
      <c r="E528" s="321"/>
      <c r="F528" s="321"/>
      <c r="G528" s="321"/>
      <c r="H528" s="321"/>
      <c r="I528" s="321"/>
      <c r="J528" s="321"/>
      <c r="K528" s="321"/>
      <c r="L528" s="265">
        <v>99465</v>
      </c>
      <c r="M528" s="265">
        <v>0</v>
      </c>
      <c r="N528" s="195">
        <v>0</v>
      </c>
      <c r="O528" s="195">
        <v>0</v>
      </c>
      <c r="P528" s="192">
        <f>75225+65473+95-45-8645</f>
        <v>132103</v>
      </c>
      <c r="Q528" s="192">
        <f>83774-1500+767-450-219+42860+67522-1500+200+400-23573+5344+59736+50+61000</f>
        <v>294411</v>
      </c>
      <c r="R528" s="192">
        <f>268425-2200+8118+50+30500+10882</f>
        <v>315775</v>
      </c>
      <c r="S528" s="192">
        <f>322425-2200+50</f>
        <v>320275</v>
      </c>
      <c r="T528" s="192">
        <f>321725-2200+50</f>
        <v>319575</v>
      </c>
    </row>
    <row r="529" spans="1:38" ht="24" customHeight="1">
      <c r="A529" s="320" t="s">
        <v>1381</v>
      </c>
      <c r="B529" s="548"/>
      <c r="C529" s="548"/>
      <c r="D529" s="320" t="s">
        <v>1349</v>
      </c>
      <c r="E529" s="548"/>
      <c r="F529" s="548"/>
      <c r="G529" s="548"/>
      <c r="H529" s="548"/>
      <c r="I529" s="548"/>
      <c r="J529" s="548"/>
      <c r="K529" s="548"/>
      <c r="L529" s="265">
        <v>0</v>
      </c>
      <c r="M529" s="265">
        <v>0</v>
      </c>
      <c r="N529" s="195">
        <v>0</v>
      </c>
      <c r="O529" s="195">
        <v>2300000</v>
      </c>
      <c r="P529" s="192">
        <v>0</v>
      </c>
      <c r="Q529" s="192">
        <v>0</v>
      </c>
      <c r="R529" s="192">
        <v>0</v>
      </c>
      <c r="S529" s="192">
        <v>0</v>
      </c>
      <c r="T529" s="192">
        <v>0</v>
      </c>
    </row>
    <row r="530" spans="1:38" ht="24" customHeight="1">
      <c r="A530" s="320" t="s">
        <v>1392</v>
      </c>
      <c r="B530" s="550"/>
      <c r="C530" s="550"/>
      <c r="D530" s="320" t="s">
        <v>1378</v>
      </c>
      <c r="E530" s="550"/>
      <c r="F530" s="550"/>
      <c r="G530" s="550"/>
      <c r="H530" s="550"/>
      <c r="I530" s="550"/>
      <c r="J530" s="550"/>
      <c r="K530" s="550"/>
      <c r="L530" s="270">
        <v>0</v>
      </c>
      <c r="M530" s="270">
        <v>0</v>
      </c>
      <c r="N530" s="202">
        <v>0</v>
      </c>
      <c r="O530" s="202">
        <v>69891</v>
      </c>
      <c r="P530" s="201">
        <v>0</v>
      </c>
      <c r="Q530" s="201">
        <v>0</v>
      </c>
      <c r="R530" s="201">
        <v>0</v>
      </c>
      <c r="S530" s="201">
        <v>0</v>
      </c>
      <c r="T530" s="201">
        <v>0</v>
      </c>
    </row>
    <row r="531" spans="1:38" ht="15" customHeight="1">
      <c r="A531" s="255"/>
      <c r="B531" s="337"/>
      <c r="C531" s="337"/>
      <c r="D531" s="337"/>
      <c r="E531" s="255"/>
      <c r="F531" s="323"/>
      <c r="G531" s="323"/>
      <c r="H531" s="323"/>
      <c r="I531" s="323"/>
      <c r="J531" s="323"/>
      <c r="K531" s="323"/>
      <c r="L531" s="271"/>
      <c r="M531" s="271"/>
      <c r="N531" s="204"/>
      <c r="O531" s="204"/>
      <c r="P531" s="203"/>
      <c r="Q531" s="203"/>
      <c r="R531" s="203"/>
      <c r="S531" s="203"/>
      <c r="T531" s="203"/>
    </row>
    <row r="532" spans="1:38" s="255" customFormat="1" ht="24" customHeight="1">
      <c r="K532" s="324" t="s">
        <v>595</v>
      </c>
      <c r="L532" s="273">
        <f>SUM(L524:L531)</f>
        <v>429531</v>
      </c>
      <c r="M532" s="273">
        <f t="shared" ref="M532:T532" si="164">SUM(M524:M531)</f>
        <v>322226</v>
      </c>
      <c r="N532" s="274">
        <f t="shared" si="164"/>
        <v>332179</v>
      </c>
      <c r="O532" s="274">
        <f t="shared" si="164"/>
        <v>2700380</v>
      </c>
      <c r="P532" s="273">
        <f t="shared" si="164"/>
        <v>302130</v>
      </c>
      <c r="Q532" s="273">
        <f t="shared" si="164"/>
        <v>320675</v>
      </c>
      <c r="R532" s="273">
        <f t="shared" si="164"/>
        <v>320275</v>
      </c>
      <c r="S532" s="273">
        <f t="shared" si="164"/>
        <v>324775</v>
      </c>
      <c r="T532" s="273">
        <f t="shared" si="164"/>
        <v>324075</v>
      </c>
      <c r="U532" s="542"/>
    </row>
    <row r="533" spans="1:38" ht="15" customHeight="1">
      <c r="A533" s="255"/>
      <c r="B533" s="255"/>
      <c r="C533" s="255"/>
      <c r="D533" s="255"/>
      <c r="E533" s="255"/>
      <c r="F533" s="255"/>
      <c r="G533" s="255"/>
      <c r="H533" s="255"/>
      <c r="I533" s="255"/>
      <c r="J533" s="255"/>
      <c r="K533" s="255"/>
      <c r="L533" s="271"/>
      <c r="M533" s="271"/>
      <c r="N533" s="204"/>
      <c r="O533" s="204"/>
      <c r="P533" s="203"/>
      <c r="Q533" s="203"/>
      <c r="R533" s="203"/>
      <c r="S533" s="203"/>
      <c r="T533" s="203"/>
    </row>
    <row r="534" spans="1:38" ht="24" customHeight="1">
      <c r="A534" s="593" t="s">
        <v>1426</v>
      </c>
      <c r="B534" s="549"/>
      <c r="C534" s="549"/>
      <c r="D534" s="320" t="s">
        <v>1351</v>
      </c>
      <c r="E534" s="548"/>
      <c r="F534" s="548"/>
      <c r="G534" s="548"/>
      <c r="H534" s="548"/>
      <c r="I534" s="323"/>
      <c r="J534" s="323"/>
      <c r="K534" s="323"/>
      <c r="L534" s="281">
        <v>0</v>
      </c>
      <c r="M534" s="281">
        <v>0</v>
      </c>
      <c r="N534" s="225">
        <v>0</v>
      </c>
      <c r="O534" s="225">
        <v>33306</v>
      </c>
      <c r="P534" s="217">
        <v>0</v>
      </c>
      <c r="Q534" s="217">
        <v>0</v>
      </c>
      <c r="R534" s="217">
        <v>0</v>
      </c>
      <c r="S534" s="217">
        <v>0</v>
      </c>
      <c r="T534" s="217">
        <v>0</v>
      </c>
      <c r="V534" s="187"/>
    </row>
    <row r="535" spans="1:38" ht="24" customHeight="1">
      <c r="A535" s="320" t="s">
        <v>1248</v>
      </c>
      <c r="B535" s="451"/>
      <c r="C535" s="451"/>
      <c r="D535" s="452" t="s">
        <v>957</v>
      </c>
      <c r="E535" s="451"/>
      <c r="F535" s="451"/>
      <c r="G535" s="451"/>
      <c r="H535" s="451"/>
      <c r="I535" s="451"/>
      <c r="J535" s="451"/>
      <c r="K535" s="451"/>
      <c r="L535" s="265">
        <v>0</v>
      </c>
      <c r="M535" s="265">
        <v>400</v>
      </c>
      <c r="N535" s="195">
        <v>0</v>
      </c>
      <c r="O535" s="195">
        <v>0</v>
      </c>
      <c r="P535" s="192">
        <v>0</v>
      </c>
      <c r="Q535" s="192">
        <v>0</v>
      </c>
      <c r="R535" s="192">
        <v>0</v>
      </c>
      <c r="S535" s="192">
        <v>0</v>
      </c>
      <c r="T535" s="192">
        <v>0</v>
      </c>
    </row>
    <row r="536" spans="1:38" ht="24" customHeight="1">
      <c r="A536" s="320" t="s">
        <v>330</v>
      </c>
      <c r="B536" s="321"/>
      <c r="C536" s="321"/>
      <c r="D536" s="320" t="s">
        <v>331</v>
      </c>
      <c r="E536" s="547"/>
      <c r="F536" s="547"/>
      <c r="G536" s="547"/>
      <c r="H536" s="547"/>
      <c r="I536" s="547"/>
      <c r="J536" s="547"/>
      <c r="K536" s="321"/>
      <c r="L536" s="265">
        <v>589</v>
      </c>
      <c r="M536" s="265">
        <v>375</v>
      </c>
      <c r="N536" s="195">
        <v>775</v>
      </c>
      <c r="O536" s="195">
        <v>589</v>
      </c>
      <c r="P536" s="192">
        <v>525</v>
      </c>
      <c r="Q536" s="192">
        <v>525</v>
      </c>
      <c r="R536" s="192">
        <v>525</v>
      </c>
      <c r="S536" s="192">
        <v>525</v>
      </c>
      <c r="T536" s="192">
        <v>525</v>
      </c>
      <c r="V536" s="761"/>
      <c r="W536" s="761"/>
      <c r="X536" s="761"/>
    </row>
    <row r="537" spans="1:38" ht="24" customHeight="1">
      <c r="A537" s="326" t="s">
        <v>1451</v>
      </c>
      <c r="B537" s="691"/>
      <c r="C537" s="691"/>
      <c r="D537" s="320"/>
      <c r="E537" s="691"/>
      <c r="F537" s="691"/>
      <c r="G537" s="691"/>
      <c r="H537" s="691"/>
      <c r="I537" s="691"/>
      <c r="J537" s="691"/>
      <c r="K537" s="691"/>
      <c r="L537" s="265"/>
      <c r="M537" s="265"/>
      <c r="N537" s="195"/>
      <c r="O537" s="195"/>
      <c r="P537" s="192"/>
      <c r="Q537" s="192"/>
      <c r="R537" s="192"/>
      <c r="S537" s="192"/>
      <c r="T537" s="192"/>
      <c r="V537" s="529"/>
      <c r="W537" s="529"/>
      <c r="X537" s="529"/>
    </row>
    <row r="538" spans="1:38" ht="24" customHeight="1">
      <c r="A538" s="320" t="s">
        <v>1361</v>
      </c>
      <c r="B538" s="691"/>
      <c r="C538" s="691"/>
      <c r="D538" s="320" t="s">
        <v>1117</v>
      </c>
      <c r="E538" s="691"/>
      <c r="F538" s="691"/>
      <c r="G538" s="691"/>
      <c r="H538" s="691"/>
      <c r="I538" s="691"/>
      <c r="J538" s="691"/>
      <c r="K538" s="691"/>
      <c r="L538" s="264">
        <v>0</v>
      </c>
      <c r="M538" s="264">
        <v>0</v>
      </c>
      <c r="N538" s="189">
        <v>0</v>
      </c>
      <c r="O538" s="189">
        <v>0</v>
      </c>
      <c r="P538" s="188">
        <v>255000</v>
      </c>
      <c r="Q538" s="188">
        <v>270000</v>
      </c>
      <c r="R538" s="188">
        <v>275000</v>
      </c>
      <c r="S538" s="188">
        <v>285000</v>
      </c>
      <c r="T538" s="188">
        <v>290000</v>
      </c>
      <c r="V538" s="530"/>
      <c r="W538" s="530"/>
      <c r="X538" s="530"/>
    </row>
    <row r="539" spans="1:38" ht="24" customHeight="1">
      <c r="A539" s="320" t="s">
        <v>1362</v>
      </c>
      <c r="B539" s="691"/>
      <c r="C539" s="691"/>
      <c r="D539" s="320" t="s">
        <v>309</v>
      </c>
      <c r="E539" s="691"/>
      <c r="F539" s="691"/>
      <c r="G539" s="691"/>
      <c r="H539" s="691"/>
      <c r="I539" s="691"/>
      <c r="J539" s="691"/>
      <c r="K539" s="691"/>
      <c r="L539" s="266">
        <v>0</v>
      </c>
      <c r="M539" s="266">
        <v>0</v>
      </c>
      <c r="N539" s="189">
        <v>0</v>
      </c>
      <c r="O539" s="189">
        <v>22254</v>
      </c>
      <c r="P539" s="188">
        <f>27625+27625</f>
        <v>55250</v>
      </c>
      <c r="Q539" s="188">
        <f>25075+25075</f>
        <v>50150</v>
      </c>
      <c r="R539" s="188">
        <f>22375+22375</f>
        <v>44750</v>
      </c>
      <c r="S539" s="188">
        <f>19625+19625</f>
        <v>39250</v>
      </c>
      <c r="T539" s="188">
        <f>16775+16775</f>
        <v>33550</v>
      </c>
      <c r="V539" s="530"/>
      <c r="W539" s="530"/>
      <c r="X539" s="530"/>
    </row>
    <row r="540" spans="1:38" ht="24" customHeight="1">
      <c r="A540" s="326" t="s">
        <v>684</v>
      </c>
      <c r="B540" s="321"/>
      <c r="C540" s="321"/>
      <c r="D540" s="320"/>
      <c r="E540" s="321"/>
      <c r="F540" s="321"/>
      <c r="G540" s="321"/>
      <c r="H540" s="321"/>
      <c r="I540" s="321"/>
      <c r="J540" s="321"/>
      <c r="K540" s="321"/>
      <c r="L540" s="265"/>
      <c r="M540" s="265"/>
      <c r="N540" s="195"/>
      <c r="O540" s="195"/>
      <c r="P540" s="192"/>
      <c r="Q540" s="192"/>
      <c r="R540" s="192"/>
      <c r="S540" s="192"/>
      <c r="T540" s="192"/>
    </row>
    <row r="541" spans="1:38" ht="24" customHeight="1">
      <c r="A541" s="320" t="s">
        <v>332</v>
      </c>
      <c r="B541" s="321"/>
      <c r="C541" s="321"/>
      <c r="D541" s="320" t="s">
        <v>1117</v>
      </c>
      <c r="E541" s="321"/>
      <c r="F541" s="321"/>
      <c r="G541" s="321"/>
      <c r="H541" s="321"/>
      <c r="I541" s="321"/>
      <c r="J541" s="321"/>
      <c r="K541" s="321"/>
      <c r="L541" s="265">
        <v>95000</v>
      </c>
      <c r="M541" s="265">
        <v>0</v>
      </c>
      <c r="N541" s="195">
        <v>0</v>
      </c>
      <c r="O541" s="195">
        <v>0</v>
      </c>
      <c r="P541" s="192">
        <v>0</v>
      </c>
      <c r="Q541" s="192">
        <v>0</v>
      </c>
      <c r="R541" s="192">
        <v>0</v>
      </c>
      <c r="S541" s="192">
        <v>0</v>
      </c>
      <c r="T541" s="192">
        <v>0</v>
      </c>
    </row>
    <row r="542" spans="1:38" ht="24" customHeight="1">
      <c r="A542" s="320" t="s">
        <v>333</v>
      </c>
      <c r="B542" s="321"/>
      <c r="C542" s="321"/>
      <c r="D542" s="320" t="s">
        <v>309</v>
      </c>
      <c r="E542" s="321"/>
      <c r="F542" s="321"/>
      <c r="G542" s="321"/>
      <c r="H542" s="321"/>
      <c r="I542" s="321"/>
      <c r="J542" s="321"/>
      <c r="K542" s="321"/>
      <c r="L542" s="265">
        <v>4465</v>
      </c>
      <c r="M542" s="265">
        <v>0</v>
      </c>
      <c r="N542" s="195">
        <v>0</v>
      </c>
      <c r="O542" s="195">
        <v>0</v>
      </c>
      <c r="P542" s="192">
        <v>0</v>
      </c>
      <c r="Q542" s="192">
        <v>0</v>
      </c>
      <c r="R542" s="192">
        <v>0</v>
      </c>
      <c r="S542" s="192">
        <v>0</v>
      </c>
      <c r="T542" s="192">
        <v>0</v>
      </c>
      <c r="V542" s="528"/>
      <c r="W542" s="528"/>
      <c r="X542" s="528"/>
      <c r="Y542" s="528"/>
      <c r="Z542" s="419"/>
      <c r="AA542" s="419"/>
    </row>
    <row r="543" spans="1:38" ht="24" customHeight="1">
      <c r="A543" s="326" t="s">
        <v>685</v>
      </c>
      <c r="B543" s="321"/>
      <c r="C543" s="321"/>
      <c r="D543" s="320"/>
      <c r="E543" s="321"/>
      <c r="F543" s="321"/>
      <c r="G543" s="321"/>
      <c r="H543" s="321"/>
      <c r="I543" s="321"/>
      <c r="J543" s="321"/>
      <c r="K543" s="321"/>
      <c r="L543" s="265"/>
      <c r="M543" s="265"/>
      <c r="N543" s="195"/>
      <c r="O543" s="195"/>
      <c r="P543" s="192"/>
      <c r="Q543" s="192"/>
      <c r="R543" s="192"/>
      <c r="S543" s="192"/>
      <c r="T543" s="192"/>
      <c r="V543" s="529"/>
      <c r="W543" s="529"/>
      <c r="X543" s="529"/>
      <c r="AA543" s="249"/>
      <c r="AB543" s="249"/>
      <c r="AC543" s="249"/>
      <c r="AD543" s="249"/>
      <c r="AE543" s="249"/>
      <c r="AF543" s="249"/>
      <c r="AG543" s="249"/>
      <c r="AH543" s="249"/>
      <c r="AI543" s="249"/>
      <c r="AJ543" s="249"/>
      <c r="AK543" s="249"/>
      <c r="AL543" s="249"/>
    </row>
    <row r="544" spans="1:38" ht="24" customHeight="1">
      <c r="A544" s="320" t="s">
        <v>334</v>
      </c>
      <c r="B544" s="321"/>
      <c r="C544" s="321"/>
      <c r="D544" s="320" t="s">
        <v>1117</v>
      </c>
      <c r="E544" s="321"/>
      <c r="F544" s="321"/>
      <c r="G544" s="321"/>
      <c r="H544" s="321"/>
      <c r="I544" s="321"/>
      <c r="J544" s="321"/>
      <c r="K544" s="321"/>
      <c r="L544" s="264">
        <v>205000</v>
      </c>
      <c r="M544" s="264">
        <v>215000</v>
      </c>
      <c r="N544" s="189">
        <v>225000</v>
      </c>
      <c r="O544" s="189">
        <v>225000</v>
      </c>
      <c r="P544" s="188">
        <v>0</v>
      </c>
      <c r="Q544" s="188">
        <v>0</v>
      </c>
      <c r="R544" s="188">
        <v>0</v>
      </c>
      <c r="S544" s="188">
        <v>0</v>
      </c>
      <c r="T544" s="188">
        <v>0</v>
      </c>
      <c r="V544" s="530"/>
      <c r="W544" s="530"/>
      <c r="X544" s="530"/>
    </row>
    <row r="545" spans="1:24" ht="24" customHeight="1">
      <c r="A545" s="320" t="s">
        <v>335</v>
      </c>
      <c r="B545" s="321"/>
      <c r="C545" s="321"/>
      <c r="D545" s="320" t="s">
        <v>309</v>
      </c>
      <c r="E545" s="321"/>
      <c r="F545" s="321"/>
      <c r="G545" s="321"/>
      <c r="H545" s="321"/>
      <c r="I545" s="321"/>
      <c r="J545" s="321"/>
      <c r="K545" s="321"/>
      <c r="L545" s="266">
        <v>121379</v>
      </c>
      <c r="M545" s="266">
        <v>113179</v>
      </c>
      <c r="N545" s="189">
        <v>104579</v>
      </c>
      <c r="O545" s="189">
        <v>56790</v>
      </c>
      <c r="P545" s="188">
        <v>0</v>
      </c>
      <c r="Q545" s="188">
        <v>0</v>
      </c>
      <c r="R545" s="188">
        <v>0</v>
      </c>
      <c r="S545" s="188">
        <v>0</v>
      </c>
      <c r="T545" s="188">
        <v>0</v>
      </c>
      <c r="V545" s="530"/>
      <c r="W545" s="530"/>
      <c r="X545" s="530"/>
    </row>
    <row r="546" spans="1:24" ht="24" customHeight="1">
      <c r="A546" s="324" t="s">
        <v>973</v>
      </c>
      <c r="B546" s="324"/>
      <c r="C546" s="324"/>
      <c r="D546" s="324"/>
      <c r="E546" s="324"/>
      <c r="F546" s="324"/>
      <c r="G546" s="321"/>
      <c r="H546" s="321"/>
      <c r="I546" s="321"/>
      <c r="J546" s="321"/>
      <c r="K546" s="321"/>
      <c r="L546" s="265"/>
      <c r="M546" s="265"/>
      <c r="N546" s="195"/>
      <c r="O546" s="195"/>
      <c r="P546" s="192"/>
      <c r="Q546" s="192"/>
      <c r="R546" s="192"/>
      <c r="S546" s="192"/>
      <c r="T546" s="192"/>
    </row>
    <row r="547" spans="1:24" ht="24" customHeight="1">
      <c r="A547" s="320" t="s">
        <v>760</v>
      </c>
      <c r="B547" s="321"/>
      <c r="C547" s="321"/>
      <c r="D547" s="320" t="s">
        <v>1117</v>
      </c>
      <c r="E547" s="321"/>
      <c r="F547" s="321"/>
      <c r="G547" s="321"/>
      <c r="H547" s="321"/>
      <c r="I547" s="321"/>
      <c r="J547" s="321"/>
      <c r="K547" s="321"/>
      <c r="L547" s="264">
        <v>75000</v>
      </c>
      <c r="M547" s="264">
        <v>0</v>
      </c>
      <c r="N547" s="189">
        <v>0</v>
      </c>
      <c r="O547" s="189">
        <v>0</v>
      </c>
      <c r="P547" s="188">
        <v>0</v>
      </c>
      <c r="Q547" s="188">
        <v>0</v>
      </c>
      <c r="R547" s="188">
        <v>0</v>
      </c>
      <c r="S547" s="188">
        <v>0</v>
      </c>
      <c r="T547" s="188">
        <v>0</v>
      </c>
    </row>
    <row r="548" spans="1:24" ht="24" customHeight="1">
      <c r="A548" s="320" t="s">
        <v>761</v>
      </c>
      <c r="B548" s="321"/>
      <c r="C548" s="321"/>
      <c r="D548" s="320" t="s">
        <v>309</v>
      </c>
      <c r="E548" s="321"/>
      <c r="F548" s="321"/>
      <c r="G548" s="255"/>
      <c r="H548" s="255"/>
      <c r="I548" s="255"/>
      <c r="J548" s="255"/>
      <c r="K548" s="255"/>
      <c r="L548" s="266">
        <v>3563</v>
      </c>
      <c r="M548" s="266">
        <v>0</v>
      </c>
      <c r="N548" s="189">
        <v>0</v>
      </c>
      <c r="O548" s="189">
        <v>0</v>
      </c>
      <c r="P548" s="188">
        <v>0</v>
      </c>
      <c r="Q548" s="188">
        <v>0</v>
      </c>
      <c r="R548" s="188">
        <v>0</v>
      </c>
      <c r="S548" s="188">
        <v>0</v>
      </c>
      <c r="T548" s="188">
        <v>0</v>
      </c>
    </row>
    <row r="549" spans="1:24" ht="24" customHeight="1">
      <c r="A549" s="320" t="s">
        <v>1391</v>
      </c>
      <c r="B549" s="550"/>
      <c r="C549" s="550"/>
      <c r="D549" s="320" t="s">
        <v>1355</v>
      </c>
      <c r="E549" s="550"/>
      <c r="F549" s="550"/>
      <c r="G549" s="551"/>
      <c r="H549" s="551"/>
      <c r="I549" s="551"/>
      <c r="J549" s="551"/>
      <c r="K549" s="551"/>
      <c r="L549" s="282">
        <v>0</v>
      </c>
      <c r="M549" s="282">
        <v>0</v>
      </c>
      <c r="N549" s="214">
        <v>0</v>
      </c>
      <c r="O549" s="214">
        <v>2359115</v>
      </c>
      <c r="P549" s="213">
        <v>0</v>
      </c>
      <c r="Q549" s="213">
        <v>0</v>
      </c>
      <c r="R549" s="213">
        <v>0</v>
      </c>
      <c r="S549" s="213">
        <v>0</v>
      </c>
      <c r="T549" s="213">
        <v>0</v>
      </c>
    </row>
    <row r="550" spans="1:24" ht="15" customHeight="1">
      <c r="A550" s="320"/>
      <c r="B550" s="321"/>
      <c r="C550" s="321"/>
      <c r="D550" s="320"/>
      <c r="E550" s="321"/>
      <c r="F550" s="321"/>
      <c r="G550" s="321"/>
      <c r="H550" s="321"/>
      <c r="I550" s="321"/>
      <c r="J550" s="321"/>
      <c r="K550" s="321"/>
      <c r="L550" s="265"/>
      <c r="M550" s="265"/>
      <c r="N550" s="195"/>
      <c r="O550" s="195"/>
      <c r="P550" s="192"/>
      <c r="Q550" s="192"/>
      <c r="R550" s="192"/>
      <c r="S550" s="192"/>
      <c r="T550" s="192"/>
    </row>
    <row r="551" spans="1:24" s="255" customFormat="1" ht="24" customHeight="1">
      <c r="K551" s="324" t="s">
        <v>598</v>
      </c>
      <c r="L551" s="273">
        <f>SUM(L534:L549)</f>
        <v>504996</v>
      </c>
      <c r="M551" s="273">
        <f t="shared" ref="M551:T551" si="165">SUM(M534:M549)</f>
        <v>328954</v>
      </c>
      <c r="N551" s="274">
        <f t="shared" si="165"/>
        <v>330354</v>
      </c>
      <c r="O551" s="274">
        <f t="shared" si="165"/>
        <v>2697054</v>
      </c>
      <c r="P551" s="273">
        <f t="shared" si="165"/>
        <v>310775</v>
      </c>
      <c r="Q551" s="273">
        <f t="shared" si="165"/>
        <v>320675</v>
      </c>
      <c r="R551" s="273">
        <f t="shared" si="165"/>
        <v>320275</v>
      </c>
      <c r="S551" s="273">
        <f t="shared" si="165"/>
        <v>324775</v>
      </c>
      <c r="T551" s="273">
        <f t="shared" si="165"/>
        <v>324075</v>
      </c>
      <c r="U551" s="542"/>
    </row>
    <row r="552" spans="1:24" s="255" customFormat="1" ht="15" customHeight="1">
      <c r="L552" s="271"/>
      <c r="M552" s="271"/>
      <c r="N552" s="272"/>
      <c r="O552" s="272"/>
      <c r="P552" s="271"/>
      <c r="Q552" s="271"/>
      <c r="R552" s="271"/>
      <c r="S552" s="271"/>
      <c r="T552" s="271"/>
      <c r="U552" s="542"/>
    </row>
    <row r="553" spans="1:24" s="255" customFormat="1" ht="24" customHeight="1">
      <c r="K553" s="324" t="s">
        <v>599</v>
      </c>
      <c r="L553" s="290">
        <f t="shared" ref="L553:T553" si="166">L532-L551</f>
        <v>-75465</v>
      </c>
      <c r="M553" s="290">
        <f t="shared" si="166"/>
        <v>-6728</v>
      </c>
      <c r="N553" s="291">
        <f t="shared" si="166"/>
        <v>1825</v>
      </c>
      <c r="O553" s="291">
        <f t="shared" si="166"/>
        <v>3326</v>
      </c>
      <c r="P553" s="290">
        <f t="shared" si="166"/>
        <v>-8645</v>
      </c>
      <c r="Q553" s="290">
        <f t="shared" si="166"/>
        <v>0</v>
      </c>
      <c r="R553" s="290">
        <f t="shared" si="166"/>
        <v>0</v>
      </c>
      <c r="S553" s="290">
        <f t="shared" si="166"/>
        <v>0</v>
      </c>
      <c r="T553" s="290">
        <f t="shared" si="166"/>
        <v>0</v>
      </c>
      <c r="U553" s="542"/>
    </row>
    <row r="554" spans="1:24" s="255" customFormat="1" ht="15" customHeight="1">
      <c r="L554" s="290"/>
      <c r="M554" s="290"/>
      <c r="N554" s="291"/>
      <c r="O554" s="291"/>
      <c r="P554" s="290"/>
      <c r="Q554" s="290"/>
      <c r="R554" s="290"/>
      <c r="S554" s="290"/>
      <c r="T554" s="290"/>
      <c r="U554" s="542"/>
    </row>
    <row r="555" spans="1:24" s="255" customFormat="1" ht="24" customHeight="1">
      <c r="K555" s="329" t="s">
        <v>601</v>
      </c>
      <c r="L555" s="290">
        <v>12046</v>
      </c>
      <c r="M555" s="290">
        <v>5319</v>
      </c>
      <c r="N555" s="291">
        <v>6207</v>
      </c>
      <c r="O555" s="291">
        <f>M555+O553</f>
        <v>8645</v>
      </c>
      <c r="P555" s="290">
        <f>O555+P553</f>
        <v>0</v>
      </c>
      <c r="Q555" s="290">
        <f>P555+Q553</f>
        <v>0</v>
      </c>
      <c r="R555" s="290">
        <f>Q555+R553</f>
        <v>0</v>
      </c>
      <c r="S555" s="290">
        <f>R555+S553</f>
        <v>0</v>
      </c>
      <c r="T555" s="290">
        <f>S555+T553</f>
        <v>0</v>
      </c>
      <c r="U555" s="542"/>
    </row>
    <row r="556" spans="1:24" ht="15" customHeight="1">
      <c r="A556" s="255"/>
      <c r="B556" s="255"/>
      <c r="C556" s="255"/>
      <c r="D556" s="255"/>
      <c r="E556" s="255"/>
      <c r="F556" s="255"/>
      <c r="G556" s="255"/>
      <c r="H556" s="255"/>
      <c r="I556" s="255"/>
      <c r="J556" s="255"/>
      <c r="K556" s="255"/>
      <c r="L556" s="468"/>
      <c r="M556" s="468"/>
      <c r="N556" s="472"/>
      <c r="O556" s="472"/>
      <c r="P556" s="473"/>
      <c r="Q556" s="473"/>
      <c r="R556" s="473"/>
      <c r="S556" s="473"/>
      <c r="T556" s="473"/>
    </row>
    <row r="557" spans="1:24" ht="24" customHeight="1">
      <c r="A557" s="331" t="s">
        <v>620</v>
      </c>
      <c r="B557" s="255"/>
      <c r="C557" s="255"/>
      <c r="D557" s="255"/>
      <c r="E557" s="255"/>
      <c r="F557" s="255"/>
      <c r="G557" s="255"/>
      <c r="H557" s="255"/>
      <c r="I557" s="255"/>
      <c r="J557" s="255"/>
      <c r="K557" s="255"/>
      <c r="L557" s="318"/>
      <c r="M557" s="318"/>
      <c r="N557" s="466"/>
      <c r="O557" s="466"/>
      <c r="P557" s="467"/>
      <c r="Q557" s="467"/>
      <c r="R557" s="467"/>
      <c r="S557" s="467"/>
      <c r="T557" s="467"/>
    </row>
    <row r="558" spans="1:24" ht="15" customHeight="1">
      <c r="A558" s="255"/>
      <c r="B558" s="255"/>
      <c r="C558" s="255"/>
      <c r="D558" s="255"/>
      <c r="E558" s="255"/>
      <c r="F558" s="255"/>
      <c r="G558" s="255"/>
      <c r="H558" s="255"/>
      <c r="I558" s="255"/>
      <c r="J558" s="255"/>
      <c r="K558" s="255"/>
      <c r="L558" s="318"/>
      <c r="M558" s="318"/>
      <c r="N558" s="466"/>
      <c r="O558" s="466"/>
      <c r="P558" s="467"/>
      <c r="Q558" s="467"/>
      <c r="R558" s="467"/>
      <c r="S558" s="467"/>
      <c r="T558" s="467"/>
    </row>
    <row r="559" spans="1:24" ht="24" customHeight="1">
      <c r="A559" s="320" t="s">
        <v>1217</v>
      </c>
      <c r="B559" s="321"/>
      <c r="C559" s="321"/>
      <c r="D559" s="255" t="s">
        <v>336</v>
      </c>
      <c r="E559" s="321"/>
      <c r="F559" s="321"/>
      <c r="G559" s="321"/>
      <c r="H559" s="321"/>
      <c r="I559" s="321"/>
      <c r="J559" s="321"/>
      <c r="K559" s="321"/>
      <c r="L559" s="265">
        <v>132793</v>
      </c>
      <c r="M559" s="265">
        <v>41403</v>
      </c>
      <c r="N559" s="195">
        <v>5235</v>
      </c>
      <c r="O559" s="186">
        <v>5210</v>
      </c>
      <c r="P559" s="192">
        <v>0</v>
      </c>
      <c r="Q559" s="192">
        <v>0</v>
      </c>
      <c r="R559" s="192">
        <v>0</v>
      </c>
      <c r="S559" s="192">
        <v>0</v>
      </c>
      <c r="T559" s="192">
        <v>0</v>
      </c>
      <c r="V559" s="487"/>
      <c r="W559" s="488"/>
    </row>
    <row r="560" spans="1:24" ht="24" customHeight="1">
      <c r="A560" s="320" t="s">
        <v>959</v>
      </c>
      <c r="B560" s="321"/>
      <c r="C560" s="321"/>
      <c r="D560" s="320" t="s">
        <v>987</v>
      </c>
      <c r="E560" s="321"/>
      <c r="F560" s="255"/>
      <c r="G560" s="321"/>
      <c r="H560" s="321"/>
      <c r="I560" s="321"/>
      <c r="J560" s="321"/>
      <c r="K560" s="321"/>
      <c r="L560" s="265">
        <v>80880</v>
      </c>
      <c r="M560" s="265">
        <v>84544</v>
      </c>
      <c r="N560" s="195">
        <v>0</v>
      </c>
      <c r="O560" s="195">
        <v>0</v>
      </c>
      <c r="P560" s="192">
        <v>0</v>
      </c>
      <c r="Q560" s="192">
        <v>0</v>
      </c>
      <c r="R560" s="192">
        <v>0</v>
      </c>
      <c r="S560" s="192">
        <v>0</v>
      </c>
      <c r="T560" s="192">
        <v>0</v>
      </c>
      <c r="V560" s="187"/>
      <c r="W560" s="241"/>
    </row>
    <row r="561" spans="1:24" ht="24" customHeight="1">
      <c r="A561" s="320" t="s">
        <v>337</v>
      </c>
      <c r="B561" s="321"/>
      <c r="C561" s="321"/>
      <c r="D561" s="320" t="s">
        <v>338</v>
      </c>
      <c r="E561" s="613"/>
      <c r="F561" s="613"/>
      <c r="G561" s="613"/>
      <c r="H561" s="613"/>
      <c r="I561" s="613"/>
      <c r="J561" s="613"/>
      <c r="K561" s="613"/>
      <c r="L561" s="265">
        <v>1843103</v>
      </c>
      <c r="M561" s="265">
        <v>1789296</v>
      </c>
      <c r="N561" s="195">
        <v>2127500</v>
      </c>
      <c r="O561" s="195">
        <f>1952841</f>
        <v>1952841</v>
      </c>
      <c r="P561" s="192">
        <v>2316937</v>
      </c>
      <c r="Q561" s="192">
        <v>2659707</v>
      </c>
      <c r="R561" s="192">
        <v>2659707</v>
      </c>
      <c r="S561" s="192">
        <v>2659707</v>
      </c>
      <c r="T561" s="192">
        <v>2792692</v>
      </c>
      <c r="V561" s="190"/>
      <c r="W561" s="196"/>
      <c r="X561" s="196"/>
    </row>
    <row r="562" spans="1:24" ht="24" customHeight="1">
      <c r="A562" s="320" t="s">
        <v>339</v>
      </c>
      <c r="B562" s="255"/>
      <c r="C562" s="255"/>
      <c r="D562" s="320" t="s">
        <v>340</v>
      </c>
      <c r="E562" s="255"/>
      <c r="F562" s="255"/>
      <c r="G562" s="255"/>
      <c r="H562" s="255"/>
      <c r="I562" s="255"/>
      <c r="J562" s="255"/>
      <c r="K562" s="255"/>
      <c r="L562" s="265">
        <v>10796</v>
      </c>
      <c r="M562" s="265">
        <v>4750</v>
      </c>
      <c r="N562" s="195">
        <v>500</v>
      </c>
      <c r="O562" s="195">
        <f>1450+(28140/2)</f>
        <v>15520</v>
      </c>
      <c r="P562" s="192">
        <v>500</v>
      </c>
      <c r="Q562" s="192">
        <v>500</v>
      </c>
      <c r="R562" s="192">
        <v>500</v>
      </c>
      <c r="S562" s="192">
        <v>500</v>
      </c>
      <c r="T562" s="192">
        <v>500</v>
      </c>
      <c r="V562" s="187"/>
      <c r="X562" s="203"/>
    </row>
    <row r="563" spans="1:24" ht="24" customHeight="1">
      <c r="A563" s="320" t="s">
        <v>1112</v>
      </c>
      <c r="B563" s="255"/>
      <c r="C563" s="255"/>
      <c r="D563" s="320" t="s">
        <v>1071</v>
      </c>
      <c r="E563" s="321"/>
      <c r="F563" s="321"/>
      <c r="G563" s="321"/>
      <c r="H563" s="321"/>
      <c r="I563" s="321"/>
      <c r="J563" s="321"/>
      <c r="K563" s="321"/>
      <c r="L563" s="265">
        <v>97601</v>
      </c>
      <c r="M563" s="265">
        <v>92386</v>
      </c>
      <c r="N563" s="195">
        <v>90000</v>
      </c>
      <c r="O563" s="195">
        <v>90000</v>
      </c>
      <c r="P563" s="192">
        <v>90000</v>
      </c>
      <c r="Q563" s="192">
        <v>90000</v>
      </c>
      <c r="R563" s="192">
        <v>90000</v>
      </c>
      <c r="S563" s="192">
        <v>90000</v>
      </c>
      <c r="T563" s="192">
        <v>90000</v>
      </c>
      <c r="V563" s="187"/>
    </row>
    <row r="564" spans="1:24" ht="24" customHeight="1">
      <c r="A564" s="320" t="s">
        <v>341</v>
      </c>
      <c r="B564" s="321"/>
      <c r="C564" s="321"/>
      <c r="D564" s="320" t="s">
        <v>342</v>
      </c>
      <c r="E564" s="321"/>
      <c r="F564" s="321"/>
      <c r="G564" s="321"/>
      <c r="H564" s="321"/>
      <c r="I564" s="321"/>
      <c r="J564" s="321"/>
      <c r="K564" s="321"/>
      <c r="L564" s="265">
        <v>36725</v>
      </c>
      <c r="M564" s="265">
        <v>47785</v>
      </c>
      <c r="N564" s="195">
        <v>30000</v>
      </c>
      <c r="O564" s="195">
        <v>20000</v>
      </c>
      <c r="P564" s="192">
        <v>35000</v>
      </c>
      <c r="Q564" s="192">
        <v>35000</v>
      </c>
      <c r="R564" s="192">
        <v>35000</v>
      </c>
      <c r="S564" s="192">
        <v>35000</v>
      </c>
      <c r="T564" s="192">
        <v>35000</v>
      </c>
    </row>
    <row r="565" spans="1:24" ht="24" customHeight="1">
      <c r="A565" s="320" t="s">
        <v>343</v>
      </c>
      <c r="B565" s="255"/>
      <c r="C565" s="255"/>
      <c r="D565" s="320" t="s">
        <v>344</v>
      </c>
      <c r="E565" s="618"/>
      <c r="F565" s="618"/>
      <c r="G565" s="618"/>
      <c r="H565" s="618"/>
      <c r="I565" s="618"/>
      <c r="J565" s="618"/>
      <c r="K565" s="618"/>
      <c r="L565" s="265">
        <v>691321</v>
      </c>
      <c r="M565" s="265">
        <v>341083</v>
      </c>
      <c r="N565" s="195">
        <v>340000</v>
      </c>
      <c r="O565" s="195">
        <v>340000</v>
      </c>
      <c r="P565" s="262">
        <f>ROUND(7000*16.5,0)*6</f>
        <v>693000</v>
      </c>
      <c r="Q565" s="262">
        <f t="shared" ref="Q565:T565" si="167">ROUND(7000*16.5,0)*6</f>
        <v>693000</v>
      </c>
      <c r="R565" s="262">
        <f t="shared" si="167"/>
        <v>693000</v>
      </c>
      <c r="S565" s="262">
        <f t="shared" si="167"/>
        <v>693000</v>
      </c>
      <c r="T565" s="262">
        <f t="shared" si="167"/>
        <v>693000</v>
      </c>
      <c r="V565" s="187"/>
    </row>
    <row r="566" spans="1:24" ht="24" customHeight="1">
      <c r="A566" s="320" t="s">
        <v>345</v>
      </c>
      <c r="B566" s="321"/>
      <c r="C566" s="321"/>
      <c r="D566" s="159" t="s">
        <v>346</v>
      </c>
      <c r="E566" s="321"/>
      <c r="F566" s="321"/>
      <c r="G566" s="321"/>
      <c r="H566" s="321"/>
      <c r="I566" s="321"/>
      <c r="J566" s="321"/>
      <c r="K566" s="321"/>
      <c r="L566" s="262">
        <v>62930</v>
      </c>
      <c r="M566" s="262">
        <v>34650</v>
      </c>
      <c r="N566" s="195">
        <v>105000</v>
      </c>
      <c r="O566" s="195">
        <v>25000</v>
      </c>
      <c r="P566" s="192">
        <f>175000-70000</f>
        <v>105000</v>
      </c>
      <c r="Q566" s="192">
        <v>175000</v>
      </c>
      <c r="R566" s="192">
        <v>175000</v>
      </c>
      <c r="S566" s="192">
        <v>175000</v>
      </c>
      <c r="T566" s="192">
        <v>175000</v>
      </c>
    </row>
    <row r="567" spans="1:24" ht="24" customHeight="1">
      <c r="A567" s="320" t="s">
        <v>347</v>
      </c>
      <c r="B567" s="321"/>
      <c r="C567" s="321"/>
      <c r="D567" s="746" t="s">
        <v>6</v>
      </c>
      <c r="E567" s="746"/>
      <c r="F567" s="746"/>
      <c r="G567" s="746"/>
      <c r="H567" s="746"/>
      <c r="I567" s="746"/>
      <c r="J567" s="746"/>
      <c r="K567" s="746"/>
      <c r="L567" s="264">
        <v>2203</v>
      </c>
      <c r="M567" s="264">
        <v>2231</v>
      </c>
      <c r="N567" s="189">
        <v>2200</v>
      </c>
      <c r="O567" s="189">
        <v>1250</v>
      </c>
      <c r="P567" s="188">
        <v>500</v>
      </c>
      <c r="Q567" s="188">
        <v>500</v>
      </c>
      <c r="R567" s="188">
        <v>500</v>
      </c>
      <c r="S567" s="188">
        <v>500</v>
      </c>
      <c r="T567" s="188">
        <v>500</v>
      </c>
      <c r="U567" s="392"/>
    </row>
    <row r="568" spans="1:24" ht="24" customHeight="1">
      <c r="A568" s="320" t="s">
        <v>665</v>
      </c>
      <c r="B568" s="321"/>
      <c r="C568" s="321"/>
      <c r="D568" s="320" t="s">
        <v>265</v>
      </c>
      <c r="E568" s="321"/>
      <c r="F568" s="321"/>
      <c r="G568" s="321"/>
      <c r="H568" s="321"/>
      <c r="I568" s="321"/>
      <c r="J568" s="321"/>
      <c r="K568" s="321"/>
      <c r="L568" s="265">
        <v>8294</v>
      </c>
      <c r="M568" s="265">
        <v>0</v>
      </c>
      <c r="N568" s="195">
        <v>0</v>
      </c>
      <c r="O568" s="195">
        <v>0</v>
      </c>
      <c r="P568" s="192">
        <v>0</v>
      </c>
      <c r="Q568" s="192">
        <v>0</v>
      </c>
      <c r="R568" s="192">
        <v>0</v>
      </c>
      <c r="S568" s="192">
        <v>0</v>
      </c>
      <c r="T568" s="192">
        <v>0</v>
      </c>
      <c r="V568" s="187"/>
    </row>
    <row r="569" spans="1:24" ht="24" customHeight="1">
      <c r="A569" s="320" t="s">
        <v>672</v>
      </c>
      <c r="B569" s="321"/>
      <c r="C569" s="321"/>
      <c r="D569" s="320" t="s">
        <v>262</v>
      </c>
      <c r="E569" s="321"/>
      <c r="F569" s="321"/>
      <c r="G569" s="321"/>
      <c r="H569" s="321"/>
      <c r="I569" s="321"/>
      <c r="J569" s="321"/>
      <c r="K569" s="321"/>
      <c r="L569" s="265">
        <v>164</v>
      </c>
      <c r="M569" s="265">
        <v>0</v>
      </c>
      <c r="N569" s="197">
        <v>0</v>
      </c>
      <c r="O569" s="197">
        <v>0</v>
      </c>
      <c r="P569" s="196">
        <v>0</v>
      </c>
      <c r="Q569" s="196">
        <v>0</v>
      </c>
      <c r="R569" s="196">
        <v>0</v>
      </c>
      <c r="S569" s="196">
        <v>0</v>
      </c>
      <c r="T569" s="196">
        <v>0</v>
      </c>
      <c r="V569" s="187"/>
    </row>
    <row r="570" spans="1:24" ht="24" customHeight="1">
      <c r="A570" s="320" t="s">
        <v>728</v>
      </c>
      <c r="B570" s="321"/>
      <c r="C570" s="321"/>
      <c r="D570" s="320" t="s">
        <v>64</v>
      </c>
      <c r="E570" s="321"/>
      <c r="F570" s="321"/>
      <c r="G570" s="321"/>
      <c r="H570" s="321"/>
      <c r="I570" s="321"/>
      <c r="J570" s="321"/>
      <c r="K570" s="321"/>
      <c r="L570" s="265">
        <v>2018</v>
      </c>
      <c r="M570" s="265">
        <v>14844</v>
      </c>
      <c r="N570" s="197">
        <v>0</v>
      </c>
      <c r="O570" s="197">
        <v>500</v>
      </c>
      <c r="P570" s="196">
        <v>0</v>
      </c>
      <c r="Q570" s="196">
        <v>0</v>
      </c>
      <c r="R570" s="196">
        <v>0</v>
      </c>
      <c r="S570" s="196">
        <v>0</v>
      </c>
      <c r="T570" s="196">
        <v>0</v>
      </c>
    </row>
    <row r="571" spans="1:24" ht="24" customHeight="1">
      <c r="A571" s="320" t="s">
        <v>971</v>
      </c>
      <c r="B571" s="255"/>
      <c r="C571" s="255"/>
      <c r="D571" s="320" t="s">
        <v>972</v>
      </c>
      <c r="E571" s="430"/>
      <c r="F571" s="430"/>
      <c r="G571" s="323"/>
      <c r="H571" s="323"/>
      <c r="I571" s="323"/>
      <c r="J571" s="323"/>
      <c r="K571" s="323"/>
      <c r="L571" s="277">
        <v>53073</v>
      </c>
      <c r="M571" s="277">
        <v>51917</v>
      </c>
      <c r="N571" s="210">
        <v>55203</v>
      </c>
      <c r="O571" s="210">
        <v>55203</v>
      </c>
      <c r="P571" s="209">
        <f t="shared" ref="P571:R571" si="168">ROUND(O571*1.02,0)</f>
        <v>56307</v>
      </c>
      <c r="Q571" s="209">
        <f t="shared" si="168"/>
        <v>57433</v>
      </c>
      <c r="R571" s="209">
        <f t="shared" si="168"/>
        <v>58582</v>
      </c>
      <c r="S571" s="209">
        <f>ROUND(R571*1.02,0)</f>
        <v>59754</v>
      </c>
      <c r="T571" s="209">
        <f>ROUND(S571*1.02,0)</f>
        <v>60949</v>
      </c>
      <c r="V571" s="187"/>
    </row>
    <row r="572" spans="1:24" ht="24" customHeight="1">
      <c r="A572" s="320" t="s">
        <v>348</v>
      </c>
      <c r="B572" s="255"/>
      <c r="C572" s="255"/>
      <c r="D572" s="320" t="s">
        <v>7</v>
      </c>
      <c r="E572" s="255"/>
      <c r="F572" s="255"/>
      <c r="G572" s="255"/>
      <c r="H572" s="255"/>
      <c r="I572" s="255"/>
      <c r="J572" s="255"/>
      <c r="K572" s="255"/>
      <c r="L572" s="264">
        <v>150</v>
      </c>
      <c r="M572" s="264">
        <v>0</v>
      </c>
      <c r="N572" s="189">
        <v>0</v>
      </c>
      <c r="O572" s="189">
        <v>1800</v>
      </c>
      <c r="P572" s="188">
        <v>0</v>
      </c>
      <c r="Q572" s="188">
        <v>0</v>
      </c>
      <c r="R572" s="188">
        <v>0</v>
      </c>
      <c r="S572" s="188">
        <v>0</v>
      </c>
      <c r="T572" s="188">
        <v>0</v>
      </c>
    </row>
    <row r="573" spans="1:24" ht="24" customHeight="1">
      <c r="A573" s="320" t="s">
        <v>1425</v>
      </c>
      <c r="B573" s="595"/>
      <c r="C573" s="595"/>
      <c r="D573" s="320" t="s">
        <v>318</v>
      </c>
      <c r="E573" s="595"/>
      <c r="F573" s="595"/>
      <c r="G573" s="595"/>
      <c r="H573" s="595"/>
      <c r="I573" s="595"/>
      <c r="J573" s="595"/>
      <c r="K573" s="595"/>
      <c r="L573" s="266">
        <v>0</v>
      </c>
      <c r="M573" s="266">
        <v>0</v>
      </c>
      <c r="N573" s="194">
        <v>0</v>
      </c>
      <c r="O573" s="194">
        <v>0</v>
      </c>
      <c r="P573" s="193">
        <v>4300000</v>
      </c>
      <c r="Q573" s="193">
        <v>0</v>
      </c>
      <c r="R573" s="193">
        <v>0</v>
      </c>
      <c r="S573" s="193">
        <v>0</v>
      </c>
      <c r="T573" s="193">
        <v>0</v>
      </c>
    </row>
    <row r="574" spans="1:24" ht="24" customHeight="1">
      <c r="A574" s="320" t="s">
        <v>349</v>
      </c>
      <c r="B574" s="321"/>
      <c r="C574" s="321"/>
      <c r="D574" s="320" t="s">
        <v>224</v>
      </c>
      <c r="E574" s="321"/>
      <c r="F574" s="321"/>
      <c r="G574" s="321"/>
      <c r="H574" s="321"/>
      <c r="I574" s="321"/>
      <c r="J574" s="321"/>
      <c r="K574" s="321"/>
      <c r="L574" s="282">
        <v>82288</v>
      </c>
      <c r="M574" s="282">
        <v>82988</v>
      </c>
      <c r="N574" s="219">
        <v>83588</v>
      </c>
      <c r="O574" s="219">
        <v>83588</v>
      </c>
      <c r="P574" s="218">
        <f>P740</f>
        <v>76275</v>
      </c>
      <c r="Q574" s="218">
        <f t="shared" ref="Q574:R574" si="169">Q740</f>
        <v>75075</v>
      </c>
      <c r="R574" s="218">
        <f t="shared" si="169"/>
        <v>73875</v>
      </c>
      <c r="S574" s="218">
        <f>S740</f>
        <v>77675</v>
      </c>
      <c r="T574" s="218">
        <f>T740</f>
        <v>73875</v>
      </c>
      <c r="V574" s="190"/>
    </row>
    <row r="575" spans="1:24" ht="15" customHeight="1">
      <c r="A575" s="255"/>
      <c r="B575" s="255"/>
      <c r="C575" s="255"/>
      <c r="D575" s="255"/>
      <c r="E575" s="255"/>
      <c r="F575" s="255"/>
      <c r="G575" s="255"/>
      <c r="H575" s="255"/>
      <c r="I575" s="255"/>
      <c r="J575" s="255"/>
      <c r="K575" s="255"/>
      <c r="L575" s="271"/>
      <c r="M575" s="271"/>
      <c r="N575" s="204"/>
      <c r="O575" s="204"/>
      <c r="P575" s="203"/>
      <c r="Q575" s="203"/>
      <c r="R575" s="203"/>
      <c r="S575" s="203"/>
      <c r="T575" s="203"/>
    </row>
    <row r="576" spans="1:24" s="255" customFormat="1" ht="24" customHeight="1">
      <c r="K576" s="324" t="s">
        <v>595</v>
      </c>
      <c r="L576" s="273">
        <f>SUM(L559:L575)</f>
        <v>3104339</v>
      </c>
      <c r="M576" s="273">
        <f>SUM(M559:M575)</f>
        <v>2587877</v>
      </c>
      <c r="N576" s="274">
        <f t="shared" ref="N576:O576" si="170">SUM(N559:N575)</f>
        <v>2839226</v>
      </c>
      <c r="O576" s="274">
        <f t="shared" si="170"/>
        <v>2590912</v>
      </c>
      <c r="P576" s="273">
        <f t="shared" ref="P576:R576" si="171">SUM(P559:P575)</f>
        <v>7673519</v>
      </c>
      <c r="Q576" s="273">
        <f t="shared" si="171"/>
        <v>3786215</v>
      </c>
      <c r="R576" s="273">
        <f t="shared" si="171"/>
        <v>3786164</v>
      </c>
      <c r="S576" s="273">
        <f t="shared" ref="S576:T576" si="172">SUM(S559:S575)</f>
        <v>3791136</v>
      </c>
      <c r="T576" s="273">
        <f t="shared" si="172"/>
        <v>3921516</v>
      </c>
      <c r="U576" s="542"/>
    </row>
    <row r="577" spans="1:27" ht="15" customHeight="1">
      <c r="A577" s="255"/>
      <c r="B577" s="255"/>
      <c r="C577" s="255"/>
      <c r="D577" s="255"/>
      <c r="E577" s="255"/>
      <c r="F577" s="255"/>
      <c r="G577" s="255"/>
      <c r="H577" s="255"/>
      <c r="I577" s="255"/>
      <c r="J577" s="255"/>
      <c r="K577" s="255"/>
      <c r="L577" s="271"/>
      <c r="M577" s="271"/>
      <c r="N577" s="204"/>
      <c r="O577" s="204"/>
      <c r="P577" s="203"/>
      <c r="Q577" s="203"/>
      <c r="R577" s="203"/>
      <c r="S577" s="203"/>
      <c r="T577" s="203"/>
    </row>
    <row r="578" spans="1:27" ht="24" customHeight="1">
      <c r="A578" s="324" t="s">
        <v>1179</v>
      </c>
      <c r="B578" s="255"/>
      <c r="C578" s="255"/>
      <c r="D578" s="255"/>
      <c r="E578" s="255"/>
      <c r="F578" s="255"/>
      <c r="G578" s="255"/>
      <c r="H578" s="255"/>
      <c r="I578" s="255"/>
      <c r="J578" s="255"/>
      <c r="K578" s="255"/>
      <c r="L578" s="271"/>
      <c r="M578" s="271"/>
      <c r="N578" s="204"/>
      <c r="O578" s="204"/>
      <c r="P578" s="203"/>
      <c r="Q578" s="203"/>
      <c r="R578" s="203"/>
      <c r="S578" s="203"/>
      <c r="T578" s="203"/>
    </row>
    <row r="579" spans="1:27" ht="24" customHeight="1">
      <c r="A579" s="320" t="s">
        <v>350</v>
      </c>
      <c r="B579" s="321"/>
      <c r="C579" s="321"/>
      <c r="D579" s="320" t="s">
        <v>1003</v>
      </c>
      <c r="E579" s="321"/>
      <c r="F579" s="321"/>
      <c r="G579" s="321"/>
      <c r="H579" s="321"/>
      <c r="I579" s="321"/>
      <c r="J579" s="321"/>
      <c r="K579" s="321"/>
      <c r="L579" s="264">
        <v>331616</v>
      </c>
      <c r="M579" s="264">
        <v>325817</v>
      </c>
      <c r="N579" s="189">
        <v>334060</v>
      </c>
      <c r="O579" s="189">
        <v>334060</v>
      </c>
      <c r="P579" s="196">
        <v>369532</v>
      </c>
      <c r="Q579" s="196">
        <v>382466</v>
      </c>
      <c r="R579" s="196">
        <v>395852</v>
      </c>
      <c r="S579" s="196">
        <v>409707</v>
      </c>
      <c r="T579" s="196">
        <v>424047</v>
      </c>
      <c r="V579" s="487"/>
      <c r="W579" s="488"/>
      <c r="X579" s="488"/>
      <c r="Y579" s="488"/>
      <c r="Z579" s="187"/>
    </row>
    <row r="580" spans="1:27" ht="24" customHeight="1">
      <c r="A580" s="320" t="s">
        <v>1294</v>
      </c>
      <c r="B580" s="489"/>
      <c r="C580" s="489"/>
      <c r="D580" s="320" t="s">
        <v>73</v>
      </c>
      <c r="E580" s="489"/>
      <c r="F580" s="489"/>
      <c r="G580" s="489"/>
      <c r="H580" s="489"/>
      <c r="I580" s="489"/>
      <c r="J580" s="489"/>
      <c r="K580" s="489"/>
      <c r="L580" s="264">
        <v>0</v>
      </c>
      <c r="M580" s="264">
        <v>0</v>
      </c>
      <c r="N580" s="189">
        <v>5800</v>
      </c>
      <c r="O580" s="189">
        <v>5800</v>
      </c>
      <c r="P580" s="196">
        <v>29800</v>
      </c>
      <c r="Q580" s="196">
        <v>29800</v>
      </c>
      <c r="R580" s="196">
        <v>29800</v>
      </c>
      <c r="S580" s="196">
        <v>29800</v>
      </c>
      <c r="T580" s="196">
        <v>29800</v>
      </c>
      <c r="V580" s="487"/>
      <c r="W580" s="488"/>
      <c r="X580" s="488"/>
      <c r="Y580" s="488"/>
      <c r="Z580" s="187"/>
    </row>
    <row r="581" spans="1:27" ht="24" customHeight="1">
      <c r="A581" s="320" t="s">
        <v>351</v>
      </c>
      <c r="B581" s="321"/>
      <c r="C581" s="321"/>
      <c r="D581" s="320" t="s">
        <v>14</v>
      </c>
      <c r="E581" s="321"/>
      <c r="F581" s="321"/>
      <c r="G581" s="321"/>
      <c r="H581" s="321"/>
      <c r="I581" s="321"/>
      <c r="J581" s="321"/>
      <c r="K581" s="321"/>
      <c r="L581" s="264">
        <v>5759</v>
      </c>
      <c r="M581" s="264">
        <v>13142</v>
      </c>
      <c r="N581" s="189">
        <v>12000</v>
      </c>
      <c r="O581" s="189">
        <v>12000</v>
      </c>
      <c r="P581" s="188">
        <v>12000</v>
      </c>
      <c r="Q581" s="188">
        <v>12000</v>
      </c>
      <c r="R581" s="188">
        <v>12000</v>
      </c>
      <c r="S581" s="188">
        <v>12000</v>
      </c>
      <c r="T581" s="188">
        <v>12000</v>
      </c>
      <c r="V581" s="487"/>
      <c r="W581" s="488"/>
      <c r="X581" s="488"/>
      <c r="Y581" s="488"/>
    </row>
    <row r="582" spans="1:27" ht="24" customHeight="1">
      <c r="A582" s="320" t="s">
        <v>352</v>
      </c>
      <c r="B582" s="321"/>
      <c r="C582" s="321"/>
      <c r="D582" s="320" t="s">
        <v>8</v>
      </c>
      <c r="E582" s="321"/>
      <c r="F582" s="321"/>
      <c r="G582" s="321"/>
      <c r="H582" s="321"/>
      <c r="I582" s="321"/>
      <c r="J582" s="321"/>
      <c r="K582" s="321"/>
      <c r="L582" s="264">
        <v>35140</v>
      </c>
      <c r="M582" s="264">
        <v>37447</v>
      </c>
      <c r="N582" s="189">
        <v>41270</v>
      </c>
      <c r="O582" s="189">
        <v>41270</v>
      </c>
      <c r="P582" s="188">
        <v>42446</v>
      </c>
      <c r="Q582" s="188">
        <v>46890</v>
      </c>
      <c r="R582" s="188">
        <v>51421</v>
      </c>
      <c r="S582" s="188">
        <v>56417</v>
      </c>
      <c r="T582" s="188">
        <v>61911</v>
      </c>
      <c r="V582" s="487"/>
      <c r="W582" s="488"/>
      <c r="X582" s="488"/>
      <c r="Y582" s="488"/>
    </row>
    <row r="583" spans="1:27" ht="24" customHeight="1">
      <c r="A583" s="320" t="s">
        <v>353</v>
      </c>
      <c r="B583" s="255"/>
      <c r="C583" s="255"/>
      <c r="D583" s="320" t="s">
        <v>9</v>
      </c>
      <c r="E583" s="255"/>
      <c r="F583" s="255"/>
      <c r="G583" s="255"/>
      <c r="H583" s="255"/>
      <c r="I583" s="255"/>
      <c r="J583" s="255"/>
      <c r="K583" s="255"/>
      <c r="L583" s="264">
        <v>24639</v>
      </c>
      <c r="M583" s="264">
        <v>24787</v>
      </c>
      <c r="N583" s="189">
        <v>25687</v>
      </c>
      <c r="O583" s="189">
        <v>25687</v>
      </c>
      <c r="P583" s="196">
        <v>30514</v>
      </c>
      <c r="Q583" s="196">
        <v>31582</v>
      </c>
      <c r="R583" s="196">
        <v>32687</v>
      </c>
      <c r="S583" s="196">
        <v>33831</v>
      </c>
      <c r="T583" s="196">
        <v>35015</v>
      </c>
      <c r="V583" s="487"/>
      <c r="W583" s="488"/>
      <c r="X583" s="488"/>
      <c r="Y583" s="488"/>
    </row>
    <row r="584" spans="1:27" ht="24" customHeight="1">
      <c r="A584" s="320" t="s">
        <v>641</v>
      </c>
      <c r="B584" s="255"/>
      <c r="C584" s="255"/>
      <c r="D584" s="320" t="s">
        <v>13</v>
      </c>
      <c r="E584" s="255"/>
      <c r="F584" s="255"/>
      <c r="G584" s="255"/>
      <c r="H584" s="255"/>
      <c r="I584" s="255"/>
      <c r="J584" s="255"/>
      <c r="K584" s="255"/>
      <c r="L584" s="264">
        <v>85844</v>
      </c>
      <c r="M584" s="264">
        <v>92981</v>
      </c>
      <c r="N584" s="189">
        <v>111893</v>
      </c>
      <c r="O584" s="189">
        <v>111893</v>
      </c>
      <c r="P584" s="193">
        <v>131003</v>
      </c>
      <c r="Q584" s="193">
        <v>141483</v>
      </c>
      <c r="R584" s="193">
        <v>152802</v>
      </c>
      <c r="S584" s="193">
        <v>165026</v>
      </c>
      <c r="T584" s="193">
        <v>178228</v>
      </c>
      <c r="V584" s="487"/>
      <c r="W584" s="488"/>
      <c r="X584" s="487"/>
      <c r="Y584" s="488"/>
      <c r="AA584" s="187"/>
    </row>
    <row r="585" spans="1:27" ht="24" customHeight="1">
      <c r="A585" s="320" t="s">
        <v>642</v>
      </c>
      <c r="B585" s="255"/>
      <c r="C585" s="255"/>
      <c r="D585" s="320" t="s">
        <v>187</v>
      </c>
      <c r="E585" s="255"/>
      <c r="F585" s="255"/>
      <c r="G585" s="255"/>
      <c r="H585" s="255"/>
      <c r="I585" s="255"/>
      <c r="J585" s="255"/>
      <c r="K585" s="255"/>
      <c r="L585" s="264">
        <v>883</v>
      </c>
      <c r="M585" s="264">
        <v>675</v>
      </c>
      <c r="N585" s="189">
        <v>681</v>
      </c>
      <c r="O585" s="189">
        <v>681</v>
      </c>
      <c r="P585" s="193">
        <v>708</v>
      </c>
      <c r="Q585" s="193">
        <v>715</v>
      </c>
      <c r="R585" s="193">
        <v>722</v>
      </c>
      <c r="S585" s="193">
        <v>729</v>
      </c>
      <c r="T585" s="193">
        <v>736</v>
      </c>
      <c r="V585" s="487"/>
      <c r="W585" s="488"/>
      <c r="X585" s="487"/>
      <c r="Y585" s="488"/>
      <c r="AA585" s="187"/>
    </row>
    <row r="586" spans="1:27" ht="24" customHeight="1">
      <c r="A586" s="320" t="s">
        <v>643</v>
      </c>
      <c r="B586" s="255"/>
      <c r="C586" s="255"/>
      <c r="D586" s="320" t="s">
        <v>652</v>
      </c>
      <c r="E586" s="255"/>
      <c r="F586" s="255"/>
      <c r="G586" s="255"/>
      <c r="H586" s="255"/>
      <c r="I586" s="255"/>
      <c r="J586" s="255"/>
      <c r="K586" s="255"/>
      <c r="L586" s="264">
        <v>6461</v>
      </c>
      <c r="M586" s="264">
        <v>5516</v>
      </c>
      <c r="N586" s="189">
        <v>5792</v>
      </c>
      <c r="O586" s="189">
        <v>5792</v>
      </c>
      <c r="P586" s="193">
        <v>8117</v>
      </c>
      <c r="Q586" s="193">
        <v>8523</v>
      </c>
      <c r="R586" s="193">
        <v>8949</v>
      </c>
      <c r="S586" s="193">
        <v>9396</v>
      </c>
      <c r="T586" s="193">
        <v>9866</v>
      </c>
      <c r="V586" s="487"/>
      <c r="W586" s="488"/>
      <c r="X586" s="487"/>
      <c r="Y586" s="488"/>
      <c r="AA586" s="187"/>
    </row>
    <row r="587" spans="1:27" ht="24" customHeight="1">
      <c r="A587" s="320" t="s">
        <v>659</v>
      </c>
      <c r="B587" s="255"/>
      <c r="C587" s="255"/>
      <c r="D587" s="320" t="s">
        <v>654</v>
      </c>
      <c r="E587" s="255"/>
      <c r="F587" s="255"/>
      <c r="G587" s="255"/>
      <c r="H587" s="255"/>
      <c r="I587" s="255"/>
      <c r="J587" s="255"/>
      <c r="K587" s="255"/>
      <c r="L587" s="264">
        <v>713</v>
      </c>
      <c r="M587" s="264">
        <v>729</v>
      </c>
      <c r="N587" s="189">
        <v>751</v>
      </c>
      <c r="O587" s="189">
        <v>751</v>
      </c>
      <c r="P587" s="193">
        <v>861</v>
      </c>
      <c r="Q587" s="193">
        <v>887</v>
      </c>
      <c r="R587" s="193">
        <v>914</v>
      </c>
      <c r="S587" s="193">
        <v>941</v>
      </c>
      <c r="T587" s="193">
        <v>969</v>
      </c>
      <c r="V587" s="487"/>
      <c r="W587" s="488"/>
      <c r="X587" s="487"/>
      <c r="Y587" s="488"/>
      <c r="AA587" s="187"/>
    </row>
    <row r="588" spans="1:27" ht="24" customHeight="1">
      <c r="A588" s="320" t="s">
        <v>624</v>
      </c>
      <c r="B588" s="255"/>
      <c r="C588" s="255"/>
      <c r="D588" s="320" t="s">
        <v>186</v>
      </c>
      <c r="E588" s="255"/>
      <c r="F588" s="255"/>
      <c r="G588" s="255"/>
      <c r="H588" s="255"/>
      <c r="I588" s="255"/>
      <c r="J588" s="255"/>
      <c r="K588" s="255"/>
      <c r="L588" s="264">
        <v>1025</v>
      </c>
      <c r="M588" s="264">
        <v>574</v>
      </c>
      <c r="N588" s="189">
        <v>3000</v>
      </c>
      <c r="O588" s="189">
        <v>700</v>
      </c>
      <c r="P588" s="188">
        <v>2000</v>
      </c>
      <c r="Q588" s="188">
        <v>2000</v>
      </c>
      <c r="R588" s="188">
        <v>2000</v>
      </c>
      <c r="S588" s="188">
        <v>2000</v>
      </c>
      <c r="T588" s="188">
        <v>2000</v>
      </c>
    </row>
    <row r="589" spans="1:27" ht="24" customHeight="1">
      <c r="A589" s="320" t="s">
        <v>622</v>
      </c>
      <c r="B589" s="255"/>
      <c r="C589" s="255"/>
      <c r="D589" s="320" t="s">
        <v>245</v>
      </c>
      <c r="E589" s="255"/>
      <c r="F589" s="255"/>
      <c r="G589" s="255"/>
      <c r="H589" s="255"/>
      <c r="I589" s="255"/>
      <c r="J589" s="255"/>
      <c r="K589" s="255"/>
      <c r="L589" s="264">
        <v>20767</v>
      </c>
      <c r="M589" s="264">
        <v>23060</v>
      </c>
      <c r="N589" s="189">
        <v>25981</v>
      </c>
      <c r="O589" s="189">
        <v>23000</v>
      </c>
      <c r="P589" s="188">
        <f>ROUND(O589*1.06,0)</f>
        <v>24380</v>
      </c>
      <c r="Q589" s="188">
        <f>ROUND(P589*1.06,0)</f>
        <v>25843</v>
      </c>
      <c r="R589" s="188">
        <f>ROUND(Q589*1.06,0)</f>
        <v>27394</v>
      </c>
      <c r="S589" s="188">
        <f>ROUND(R589*1.06,0)</f>
        <v>29038</v>
      </c>
      <c r="T589" s="188">
        <f>ROUND(S589*1.06,0)</f>
        <v>30780</v>
      </c>
      <c r="V589" s="487"/>
      <c r="W589" s="488"/>
      <c r="X589" s="703"/>
    </row>
    <row r="590" spans="1:27" ht="24" customHeight="1">
      <c r="A590" s="320" t="s">
        <v>1387</v>
      </c>
      <c r="B590" s="549"/>
      <c r="C590" s="549"/>
      <c r="D590" s="549" t="s">
        <v>1351</v>
      </c>
      <c r="E590" s="549"/>
      <c r="F590" s="549"/>
      <c r="G590" s="549"/>
      <c r="H590" s="549"/>
      <c r="I590" s="549"/>
      <c r="J590" s="549"/>
      <c r="K590" s="549"/>
      <c r="L590" s="264">
        <v>0</v>
      </c>
      <c r="M590" s="264">
        <v>0</v>
      </c>
      <c r="N590" s="189">
        <v>0</v>
      </c>
      <c r="O590" s="189">
        <v>24378</v>
      </c>
      <c r="P590" s="217">
        <v>50000</v>
      </c>
      <c r="Q590" s="188">
        <f t="shared" ref="P590:R591" si="173">Q559</f>
        <v>0</v>
      </c>
      <c r="R590" s="188">
        <f t="shared" si="173"/>
        <v>0</v>
      </c>
      <c r="S590" s="188">
        <f t="shared" ref="S590:T591" si="174">S559</f>
        <v>0</v>
      </c>
      <c r="T590" s="188">
        <f t="shared" si="174"/>
        <v>0</v>
      </c>
      <c r="V590" s="187"/>
    </row>
    <row r="591" spans="1:27" ht="24" customHeight="1">
      <c r="A591" s="320" t="s">
        <v>960</v>
      </c>
      <c r="B591" s="255"/>
      <c r="C591" s="255"/>
      <c r="D591" s="255" t="s">
        <v>957</v>
      </c>
      <c r="E591" s="255"/>
      <c r="F591" s="255"/>
      <c r="G591" s="255"/>
      <c r="H591" s="255"/>
      <c r="I591" s="255"/>
      <c r="J591" s="255"/>
      <c r="K591" s="255"/>
      <c r="L591" s="264">
        <v>80880</v>
      </c>
      <c r="M591" s="264">
        <v>84544</v>
      </c>
      <c r="N591" s="189">
        <v>0</v>
      </c>
      <c r="O591" s="189">
        <v>0</v>
      </c>
      <c r="P591" s="188">
        <f t="shared" si="173"/>
        <v>0</v>
      </c>
      <c r="Q591" s="188">
        <f t="shared" si="173"/>
        <v>0</v>
      </c>
      <c r="R591" s="188">
        <f t="shared" si="173"/>
        <v>0</v>
      </c>
      <c r="S591" s="188">
        <f t="shared" si="174"/>
        <v>0</v>
      </c>
      <c r="T591" s="188">
        <f t="shared" si="174"/>
        <v>0</v>
      </c>
      <c r="V591" s="187"/>
    </row>
    <row r="592" spans="1:27" ht="24" customHeight="1">
      <c r="A592" s="320" t="s">
        <v>354</v>
      </c>
      <c r="B592" s="321"/>
      <c r="C592" s="321"/>
      <c r="D592" s="320" t="s">
        <v>96</v>
      </c>
      <c r="E592" s="321"/>
      <c r="F592" s="321"/>
      <c r="G592" s="321"/>
      <c r="H592" s="321"/>
      <c r="I592" s="321"/>
      <c r="J592" s="321"/>
      <c r="K592" s="321"/>
      <c r="L592" s="264">
        <v>600</v>
      </c>
      <c r="M592" s="264">
        <v>3044</v>
      </c>
      <c r="N592" s="189">
        <v>3000</v>
      </c>
      <c r="O592" s="189">
        <v>3000</v>
      </c>
      <c r="P592" s="188">
        <f>3000+800+(4*500)</f>
        <v>5800</v>
      </c>
      <c r="Q592" s="188">
        <f>3000</f>
        <v>3000</v>
      </c>
      <c r="R592" s="188">
        <f>3000</f>
        <v>3000</v>
      </c>
      <c r="S592" s="188">
        <f>3000</f>
        <v>3000</v>
      </c>
      <c r="T592" s="188">
        <f>3000</f>
        <v>3000</v>
      </c>
    </row>
    <row r="593" spans="1:22" ht="24" customHeight="1">
      <c r="A593" s="320" t="s">
        <v>355</v>
      </c>
      <c r="B593" s="255"/>
      <c r="C593" s="255"/>
      <c r="D593" s="320" t="s">
        <v>1166</v>
      </c>
      <c r="E593" s="255"/>
      <c r="F593" s="255"/>
      <c r="G593" s="321"/>
      <c r="H593" s="321"/>
      <c r="I593" s="321"/>
      <c r="J593" s="321"/>
      <c r="K593" s="321"/>
      <c r="L593" s="264">
        <v>293</v>
      </c>
      <c r="M593" s="264">
        <v>528</v>
      </c>
      <c r="N593" s="189">
        <v>1600</v>
      </c>
      <c r="O593" s="189">
        <v>1600</v>
      </c>
      <c r="P593" s="188">
        <v>1600</v>
      </c>
      <c r="Q593" s="188">
        <v>1600</v>
      </c>
      <c r="R593" s="188">
        <v>1600</v>
      </c>
      <c r="S593" s="188">
        <v>1600</v>
      </c>
      <c r="T593" s="188">
        <v>1600</v>
      </c>
    </row>
    <row r="594" spans="1:22" ht="24" customHeight="1">
      <c r="A594" s="320" t="s">
        <v>356</v>
      </c>
      <c r="B594" s="255"/>
      <c r="C594" s="255"/>
      <c r="D594" s="320" t="s">
        <v>95</v>
      </c>
      <c r="E594" s="428"/>
      <c r="F594" s="428"/>
      <c r="G594" s="427"/>
      <c r="H594" s="427"/>
      <c r="I594" s="427"/>
      <c r="J594" s="427"/>
      <c r="K594" s="427"/>
      <c r="L594" s="264">
        <v>1117</v>
      </c>
      <c r="M594" s="264">
        <v>787</v>
      </c>
      <c r="N594" s="189">
        <v>1000</v>
      </c>
      <c r="O594" s="189">
        <v>1000</v>
      </c>
      <c r="P594" s="188">
        <v>1000</v>
      </c>
      <c r="Q594" s="188">
        <v>1000</v>
      </c>
      <c r="R594" s="188">
        <v>1000</v>
      </c>
      <c r="S594" s="188">
        <v>1000</v>
      </c>
      <c r="T594" s="188">
        <v>1000</v>
      </c>
    </row>
    <row r="595" spans="1:22" ht="24" customHeight="1">
      <c r="A595" s="320" t="s">
        <v>357</v>
      </c>
      <c r="B595" s="255"/>
      <c r="C595" s="255"/>
      <c r="D595" s="320" t="s">
        <v>358</v>
      </c>
      <c r="E595" s="255"/>
      <c r="F595" s="255"/>
      <c r="G595" s="321"/>
      <c r="H595" s="321"/>
      <c r="I595" s="321"/>
      <c r="J595" s="321"/>
      <c r="K595" s="321"/>
      <c r="L595" s="262">
        <v>7170</v>
      </c>
      <c r="M595" s="262">
        <v>11340</v>
      </c>
      <c r="N595" s="186">
        <v>14000</v>
      </c>
      <c r="O595" s="186">
        <v>14000</v>
      </c>
      <c r="P595" s="185">
        <v>14000</v>
      </c>
      <c r="Q595" s="185">
        <v>14000</v>
      </c>
      <c r="R595" s="185">
        <v>14000</v>
      </c>
      <c r="S595" s="185">
        <v>14000</v>
      </c>
      <c r="T595" s="185">
        <v>14000</v>
      </c>
    </row>
    <row r="596" spans="1:22" ht="24" customHeight="1">
      <c r="A596" s="320" t="s">
        <v>359</v>
      </c>
      <c r="B596" s="255"/>
      <c r="C596" s="255"/>
      <c r="D596" s="320" t="s">
        <v>1167</v>
      </c>
      <c r="E596" s="255"/>
      <c r="F596" s="255"/>
      <c r="G596" s="321"/>
      <c r="H596" s="321"/>
      <c r="I596" s="321"/>
      <c r="J596" s="321"/>
      <c r="K596" s="321"/>
      <c r="L596" s="264">
        <v>42</v>
      </c>
      <c r="M596" s="264">
        <v>61</v>
      </c>
      <c r="N596" s="189">
        <v>2500</v>
      </c>
      <c r="O596" s="189">
        <v>2500</v>
      </c>
      <c r="P596" s="188">
        <f>2500+800</f>
        <v>3300</v>
      </c>
      <c r="Q596" s="188">
        <f t="shared" ref="Q596:T596" si="175">2500+800</f>
        <v>3300</v>
      </c>
      <c r="R596" s="188">
        <f t="shared" si="175"/>
        <v>3300</v>
      </c>
      <c r="S596" s="188">
        <f t="shared" si="175"/>
        <v>3300</v>
      </c>
      <c r="T596" s="188">
        <f t="shared" si="175"/>
        <v>3300</v>
      </c>
    </row>
    <row r="597" spans="1:22" ht="24" customHeight="1">
      <c r="A597" s="320" t="s">
        <v>360</v>
      </c>
      <c r="B597" s="255"/>
      <c r="C597" s="255"/>
      <c r="D597" s="320" t="s">
        <v>240</v>
      </c>
      <c r="E597" s="255"/>
      <c r="F597" s="321"/>
      <c r="G597" s="255"/>
      <c r="H597" s="255"/>
      <c r="I597" s="255"/>
      <c r="J597" s="255"/>
      <c r="K597" s="255"/>
      <c r="L597" s="264">
        <v>22942</v>
      </c>
      <c r="M597" s="264">
        <v>20065</v>
      </c>
      <c r="N597" s="189">
        <v>24500</v>
      </c>
      <c r="O597" s="189">
        <v>24500</v>
      </c>
      <c r="P597" s="188">
        <f t="shared" ref="P597:T597" si="176">22000+2500</f>
        <v>24500</v>
      </c>
      <c r="Q597" s="188">
        <f t="shared" si="176"/>
        <v>24500</v>
      </c>
      <c r="R597" s="188">
        <f t="shared" si="176"/>
        <v>24500</v>
      </c>
      <c r="S597" s="188">
        <f t="shared" si="176"/>
        <v>24500</v>
      </c>
      <c r="T597" s="188">
        <f t="shared" si="176"/>
        <v>24500</v>
      </c>
      <c r="V597" s="187"/>
    </row>
    <row r="598" spans="1:22" ht="24" customHeight="1">
      <c r="A598" s="320" t="s">
        <v>793</v>
      </c>
      <c r="B598" s="255"/>
      <c r="C598" s="255"/>
      <c r="D598" s="320" t="s">
        <v>794</v>
      </c>
      <c r="E598" s="255"/>
      <c r="F598" s="321"/>
      <c r="G598" s="255"/>
      <c r="H598" s="255"/>
      <c r="I598" s="255"/>
      <c r="J598" s="255"/>
      <c r="K598" s="255"/>
      <c r="L598" s="264">
        <v>89598</v>
      </c>
      <c r="M598" s="264">
        <v>119912</v>
      </c>
      <c r="N598" s="189">
        <v>100000</v>
      </c>
      <c r="O598" s="189">
        <v>100000</v>
      </c>
      <c r="P598" s="188">
        <f>110000+2000</f>
        <v>112000</v>
      </c>
      <c r="Q598" s="188">
        <f t="shared" ref="Q598:T598" si="177">110000+2000</f>
        <v>112000</v>
      </c>
      <c r="R598" s="188">
        <f t="shared" si="177"/>
        <v>112000</v>
      </c>
      <c r="S598" s="188">
        <f t="shared" si="177"/>
        <v>112000</v>
      </c>
      <c r="T598" s="188">
        <f t="shared" si="177"/>
        <v>112000</v>
      </c>
    </row>
    <row r="599" spans="1:22" ht="24" customHeight="1">
      <c r="A599" s="320" t="s">
        <v>776</v>
      </c>
      <c r="B599" s="255"/>
      <c r="C599" s="255"/>
      <c r="D599" s="320" t="s">
        <v>49</v>
      </c>
      <c r="E599" s="255"/>
      <c r="F599" s="321"/>
      <c r="G599" s="255"/>
      <c r="H599" s="255"/>
      <c r="I599" s="255"/>
      <c r="J599" s="255"/>
      <c r="K599" s="255"/>
      <c r="L599" s="264">
        <v>6399</v>
      </c>
      <c r="M599" s="264">
        <v>5831</v>
      </c>
      <c r="N599" s="189">
        <v>6500</v>
      </c>
      <c r="O599" s="189">
        <v>6500</v>
      </c>
      <c r="P599" s="188">
        <v>6500</v>
      </c>
      <c r="Q599" s="188">
        <v>6500</v>
      </c>
      <c r="R599" s="188">
        <v>6500</v>
      </c>
      <c r="S599" s="188">
        <v>6500</v>
      </c>
      <c r="T599" s="188">
        <v>6500</v>
      </c>
    </row>
    <row r="600" spans="1:22" ht="24" customHeight="1">
      <c r="A600" s="320" t="s">
        <v>361</v>
      </c>
      <c r="B600" s="321"/>
      <c r="C600" s="321"/>
      <c r="D600" s="320" t="s">
        <v>94</v>
      </c>
      <c r="E600" s="321"/>
      <c r="F600" s="321"/>
      <c r="G600" s="255"/>
      <c r="H600" s="255"/>
      <c r="I600" s="255"/>
      <c r="J600" s="255"/>
      <c r="K600" s="255"/>
      <c r="L600" s="262">
        <v>17609</v>
      </c>
      <c r="M600" s="262">
        <v>16276</v>
      </c>
      <c r="N600" s="186">
        <v>22000</v>
      </c>
      <c r="O600" s="186">
        <v>22000</v>
      </c>
      <c r="P600" s="185">
        <v>19000</v>
      </c>
      <c r="Q600" s="185">
        <v>19000</v>
      </c>
      <c r="R600" s="185">
        <v>19000</v>
      </c>
      <c r="S600" s="185">
        <v>19000</v>
      </c>
      <c r="T600" s="185">
        <v>19000</v>
      </c>
    </row>
    <row r="601" spans="1:22" ht="24" customHeight="1">
      <c r="A601" s="320" t="s">
        <v>362</v>
      </c>
      <c r="B601" s="255"/>
      <c r="C601" s="255"/>
      <c r="D601" s="320" t="s">
        <v>1168</v>
      </c>
      <c r="E601" s="255"/>
      <c r="F601" s="255"/>
      <c r="G601" s="255"/>
      <c r="H601" s="255"/>
      <c r="I601" s="255"/>
      <c r="J601" s="255"/>
      <c r="K601" s="255"/>
      <c r="L601" s="264">
        <v>858</v>
      </c>
      <c r="M601" s="264">
        <v>1568</v>
      </c>
      <c r="N601" s="189">
        <v>1250</v>
      </c>
      <c r="O601" s="189">
        <v>1250</v>
      </c>
      <c r="P601" s="188">
        <v>1600</v>
      </c>
      <c r="Q601" s="188">
        <v>1600</v>
      </c>
      <c r="R601" s="188">
        <v>1600</v>
      </c>
      <c r="S601" s="188">
        <v>1600</v>
      </c>
      <c r="T601" s="188">
        <v>1600</v>
      </c>
    </row>
    <row r="602" spans="1:22" ht="24" customHeight="1">
      <c r="A602" s="320" t="s">
        <v>363</v>
      </c>
      <c r="B602" s="255"/>
      <c r="C602" s="255"/>
      <c r="D602" s="320" t="s">
        <v>10</v>
      </c>
      <c r="E602" s="657"/>
      <c r="F602" s="657"/>
      <c r="G602" s="656"/>
      <c r="H602" s="656"/>
      <c r="I602" s="656"/>
      <c r="J602" s="656"/>
      <c r="K602" s="656"/>
      <c r="L602" s="262">
        <v>13585</v>
      </c>
      <c r="M602" s="262">
        <f>40507-M610</f>
        <v>21047</v>
      </c>
      <c r="N602" s="186">
        <v>15000</v>
      </c>
      <c r="O602" s="186">
        <v>15000</v>
      </c>
      <c r="P602" s="185">
        <v>21500</v>
      </c>
      <c r="Q602" s="185">
        <v>21500</v>
      </c>
      <c r="R602" s="185">
        <v>21500</v>
      </c>
      <c r="S602" s="185">
        <v>21500</v>
      </c>
      <c r="T602" s="185">
        <v>21500</v>
      </c>
    </row>
    <row r="603" spans="1:22" ht="24" customHeight="1">
      <c r="A603" s="320" t="s">
        <v>1401</v>
      </c>
      <c r="B603" s="578"/>
      <c r="C603" s="578"/>
      <c r="D603" s="320" t="s">
        <v>274</v>
      </c>
      <c r="E603" s="623"/>
      <c r="F603" s="623"/>
      <c r="G603" s="622"/>
      <c r="H603" s="622"/>
      <c r="I603" s="622"/>
      <c r="J603" s="622"/>
      <c r="K603" s="622"/>
      <c r="L603" s="262">
        <v>0</v>
      </c>
      <c r="M603" s="262">
        <v>0</v>
      </c>
      <c r="N603" s="186">
        <v>0</v>
      </c>
      <c r="O603" s="186">
        <v>0</v>
      </c>
      <c r="P603" s="185">
        <v>250000</v>
      </c>
      <c r="Q603" s="185">
        <v>0</v>
      </c>
      <c r="R603" s="185">
        <v>0</v>
      </c>
      <c r="S603" s="185">
        <v>0</v>
      </c>
      <c r="T603" s="185">
        <v>0</v>
      </c>
    </row>
    <row r="604" spans="1:22" ht="24" customHeight="1">
      <c r="A604" s="320" t="s">
        <v>364</v>
      </c>
      <c r="B604" s="255"/>
      <c r="C604" s="255"/>
      <c r="D604" s="320" t="s">
        <v>136</v>
      </c>
      <c r="E604" s="255"/>
      <c r="F604" s="255"/>
      <c r="G604" s="321"/>
      <c r="H604" s="321"/>
      <c r="I604" s="321"/>
      <c r="J604" s="321"/>
      <c r="K604" s="321"/>
      <c r="L604" s="264">
        <v>0</v>
      </c>
      <c r="M604" s="264">
        <v>0</v>
      </c>
      <c r="N604" s="189">
        <v>2000</v>
      </c>
      <c r="O604" s="189">
        <v>2000</v>
      </c>
      <c r="P604" s="188">
        <v>2000</v>
      </c>
      <c r="Q604" s="188">
        <v>2000</v>
      </c>
      <c r="R604" s="188">
        <v>2000</v>
      </c>
      <c r="S604" s="188">
        <v>2000</v>
      </c>
      <c r="T604" s="188">
        <v>2000</v>
      </c>
    </row>
    <row r="605" spans="1:22" ht="24" customHeight="1">
      <c r="A605" s="320" t="s">
        <v>365</v>
      </c>
      <c r="B605" s="321"/>
      <c r="C605" s="321"/>
      <c r="D605" s="320" t="s">
        <v>17</v>
      </c>
      <c r="E605" s="417"/>
      <c r="F605" s="417"/>
      <c r="G605" s="417"/>
      <c r="H605" s="417"/>
      <c r="I605" s="417"/>
      <c r="J605" s="417"/>
      <c r="K605" s="417"/>
      <c r="L605" s="265">
        <v>208439</v>
      </c>
      <c r="M605" s="265">
        <v>218196</v>
      </c>
      <c r="N605" s="195">
        <v>258750</v>
      </c>
      <c r="O605" s="195">
        <v>258750</v>
      </c>
      <c r="P605" s="188">
        <f>ROUND(O605*1.06,0)-10000</f>
        <v>264275</v>
      </c>
      <c r="Q605" s="188">
        <f t="shared" ref="Q605:T605" si="178">ROUND(P605*1.06,0)</f>
        <v>280132</v>
      </c>
      <c r="R605" s="188">
        <f t="shared" si="178"/>
        <v>296940</v>
      </c>
      <c r="S605" s="188">
        <f t="shared" si="178"/>
        <v>314756</v>
      </c>
      <c r="T605" s="188">
        <f t="shared" si="178"/>
        <v>333641</v>
      </c>
      <c r="V605" s="190"/>
    </row>
    <row r="606" spans="1:22" ht="24" customHeight="1">
      <c r="A606" s="320" t="s">
        <v>366</v>
      </c>
      <c r="B606" s="255"/>
      <c r="C606" s="255"/>
      <c r="D606" s="320" t="s">
        <v>367</v>
      </c>
      <c r="E606" s="428"/>
      <c r="F606" s="428"/>
      <c r="G606" s="428"/>
      <c r="H606" s="428"/>
      <c r="I606" s="428"/>
      <c r="J606" s="428"/>
      <c r="K606" s="428"/>
      <c r="L606" s="285">
        <f>6534-L621</f>
        <v>6534</v>
      </c>
      <c r="M606" s="285">
        <f>5488-M621</f>
        <v>4520</v>
      </c>
      <c r="N606" s="224">
        <v>4500</v>
      </c>
      <c r="O606" s="224">
        <v>4500</v>
      </c>
      <c r="P606" s="223">
        <v>4500</v>
      </c>
      <c r="Q606" s="223">
        <v>4500</v>
      </c>
      <c r="R606" s="223">
        <v>4500</v>
      </c>
      <c r="S606" s="223">
        <v>4500</v>
      </c>
      <c r="T606" s="223">
        <v>4500</v>
      </c>
      <c r="V606" s="187"/>
    </row>
    <row r="607" spans="1:22" ht="24" customHeight="1">
      <c r="A607" s="320" t="s">
        <v>368</v>
      </c>
      <c r="B607" s="321"/>
      <c r="C607" s="321"/>
      <c r="D607" s="320" t="s">
        <v>91</v>
      </c>
      <c r="E607" s="321"/>
      <c r="F607" s="321"/>
      <c r="G607" s="255"/>
      <c r="H607" s="255"/>
      <c r="I607" s="255"/>
      <c r="J607" s="255"/>
      <c r="K607" s="255"/>
      <c r="L607" s="285">
        <v>492</v>
      </c>
      <c r="M607" s="285">
        <v>504</v>
      </c>
      <c r="N607" s="224">
        <v>1000</v>
      </c>
      <c r="O607" s="224">
        <v>1000</v>
      </c>
      <c r="P607" s="223">
        <v>1000</v>
      </c>
      <c r="Q607" s="223">
        <v>1000</v>
      </c>
      <c r="R607" s="223">
        <v>1000</v>
      </c>
      <c r="S607" s="223">
        <v>1000</v>
      </c>
      <c r="T607" s="223">
        <v>1000</v>
      </c>
    </row>
    <row r="608" spans="1:22" ht="24" customHeight="1">
      <c r="A608" s="320" t="s">
        <v>1465</v>
      </c>
      <c r="B608" s="323"/>
      <c r="C608" s="323"/>
      <c r="D608" s="320" t="s">
        <v>1461</v>
      </c>
      <c r="E608" s="323"/>
      <c r="F608" s="323"/>
      <c r="G608" s="323"/>
      <c r="H608" s="323"/>
      <c r="I608" s="323"/>
      <c r="J608" s="323"/>
      <c r="K608" s="323"/>
      <c r="L608" s="265">
        <v>0</v>
      </c>
      <c r="M608" s="265">
        <v>0</v>
      </c>
      <c r="N608" s="195">
        <v>0</v>
      </c>
      <c r="O608" s="195">
        <f>16036-279</f>
        <v>15757</v>
      </c>
      <c r="P608" s="192">
        <v>0</v>
      </c>
      <c r="Q608" s="192">
        <v>0</v>
      </c>
      <c r="R608" s="192">
        <v>0</v>
      </c>
      <c r="S608" s="192">
        <v>0</v>
      </c>
      <c r="T608" s="192">
        <v>0</v>
      </c>
    </row>
    <row r="609" spans="1:27" ht="24" customHeight="1">
      <c r="A609" s="320" t="s">
        <v>1076</v>
      </c>
      <c r="B609" s="321"/>
      <c r="C609" s="321"/>
      <c r="D609" s="320" t="s">
        <v>1073</v>
      </c>
      <c r="E609" s="321"/>
      <c r="F609" s="321"/>
      <c r="G609" s="321"/>
      <c r="H609" s="321"/>
      <c r="I609" s="321"/>
      <c r="J609" s="321"/>
      <c r="K609" s="321"/>
      <c r="L609" s="281">
        <f>14751-L610</f>
        <v>9790</v>
      </c>
      <c r="M609" s="281">
        <v>3181</v>
      </c>
      <c r="N609" s="225">
        <v>6000</v>
      </c>
      <c r="O609" s="225">
        <v>6000</v>
      </c>
      <c r="P609" s="217">
        <v>7500</v>
      </c>
      <c r="Q609" s="217">
        <v>7500</v>
      </c>
      <c r="R609" s="217">
        <v>7500</v>
      </c>
      <c r="S609" s="217">
        <v>7500</v>
      </c>
      <c r="T609" s="217">
        <v>7500</v>
      </c>
      <c r="V609" s="187"/>
    </row>
    <row r="610" spans="1:27" ht="24" customHeight="1">
      <c r="A610" s="320" t="s">
        <v>1197</v>
      </c>
      <c r="B610" s="410"/>
      <c r="C610" s="410"/>
      <c r="D610" s="320" t="s">
        <v>1196</v>
      </c>
      <c r="E610" s="427"/>
      <c r="F610" s="427"/>
      <c r="G610" s="427"/>
      <c r="H610" s="427"/>
      <c r="I610" s="427"/>
      <c r="J610" s="427"/>
      <c r="K610" s="427"/>
      <c r="L610" s="281">
        <f>660+501+3800</f>
        <v>4961</v>
      </c>
      <c r="M610" s="281">
        <f>3700+2500+1724+375+675+315+1238+450+3790+4693</f>
        <v>19460</v>
      </c>
      <c r="N610" s="225">
        <v>4000</v>
      </c>
      <c r="O610" s="225">
        <v>4000</v>
      </c>
      <c r="P610" s="217">
        <f>4000+10000</f>
        <v>14000</v>
      </c>
      <c r="Q610" s="217">
        <f t="shared" ref="Q610:T610" si="179">4000+10000</f>
        <v>14000</v>
      </c>
      <c r="R610" s="217">
        <f t="shared" si="179"/>
        <v>14000</v>
      </c>
      <c r="S610" s="217">
        <f t="shared" si="179"/>
        <v>14000</v>
      </c>
      <c r="T610" s="217">
        <f t="shared" si="179"/>
        <v>14000</v>
      </c>
      <c r="V610" s="187"/>
    </row>
    <row r="611" spans="1:27" ht="24" customHeight="1">
      <c r="A611" s="320" t="s">
        <v>773</v>
      </c>
      <c r="B611" s="321"/>
      <c r="C611" s="321"/>
      <c r="D611" s="320" t="s">
        <v>331</v>
      </c>
      <c r="E611" s="547"/>
      <c r="F611" s="547"/>
      <c r="G611" s="547"/>
      <c r="H611" s="547"/>
      <c r="I611" s="547"/>
      <c r="J611" s="547"/>
      <c r="K611" s="547"/>
      <c r="L611" s="281">
        <v>1338</v>
      </c>
      <c r="M611" s="281">
        <v>1338</v>
      </c>
      <c r="N611" s="225">
        <v>3100</v>
      </c>
      <c r="O611" s="225">
        <v>3100</v>
      </c>
      <c r="P611" s="217">
        <v>2295</v>
      </c>
      <c r="Q611" s="217">
        <v>2295</v>
      </c>
      <c r="R611" s="217">
        <v>2295</v>
      </c>
      <c r="S611" s="217">
        <v>2295</v>
      </c>
      <c r="T611" s="217">
        <f>2295-590</f>
        <v>1705</v>
      </c>
    </row>
    <row r="612" spans="1:27" ht="24" customHeight="1">
      <c r="A612" s="320" t="s">
        <v>369</v>
      </c>
      <c r="B612" s="533"/>
      <c r="C612" s="533"/>
      <c r="D612" s="320" t="s">
        <v>18</v>
      </c>
      <c r="E612" s="533"/>
      <c r="F612" s="533"/>
      <c r="G612" s="321"/>
      <c r="H612" s="321"/>
      <c r="I612" s="321"/>
      <c r="J612" s="321"/>
      <c r="K612" s="321"/>
      <c r="L612" s="281">
        <v>17539</v>
      </c>
      <c r="M612" s="281">
        <v>7973</v>
      </c>
      <c r="N612" s="225">
        <v>15000</v>
      </c>
      <c r="O612" s="225">
        <v>10000</v>
      </c>
      <c r="P612" s="217">
        <v>10000</v>
      </c>
      <c r="Q612" s="217">
        <v>10000</v>
      </c>
      <c r="R612" s="217">
        <v>10000</v>
      </c>
      <c r="S612" s="217">
        <v>10000</v>
      </c>
      <c r="T612" s="217">
        <v>10000</v>
      </c>
    </row>
    <row r="613" spans="1:27" ht="24" customHeight="1">
      <c r="A613" s="320" t="s">
        <v>370</v>
      </c>
      <c r="B613" s="321"/>
      <c r="C613" s="321"/>
      <c r="D613" s="320" t="s">
        <v>101</v>
      </c>
      <c r="E613" s="321"/>
      <c r="F613" s="321"/>
      <c r="G613" s="321"/>
      <c r="H613" s="321"/>
      <c r="I613" s="321"/>
      <c r="J613" s="321"/>
      <c r="K613" s="321"/>
      <c r="L613" s="265">
        <v>3067</v>
      </c>
      <c r="M613" s="265">
        <v>3340</v>
      </c>
      <c r="N613" s="195">
        <v>4000</v>
      </c>
      <c r="O613" s="195">
        <v>4000</v>
      </c>
      <c r="P613" s="185">
        <f>ROUND(O613*1.05,0)</f>
        <v>4200</v>
      </c>
      <c r="Q613" s="185">
        <f>ROUND(P613*1.05,0)</f>
        <v>4410</v>
      </c>
      <c r="R613" s="185">
        <f t="shared" ref="R613:T613" si="180">ROUND(Q613*1.05,0)</f>
        <v>4631</v>
      </c>
      <c r="S613" s="185">
        <f t="shared" si="180"/>
        <v>4863</v>
      </c>
      <c r="T613" s="185">
        <f t="shared" si="180"/>
        <v>5106</v>
      </c>
    </row>
    <row r="614" spans="1:27" ht="24" customHeight="1">
      <c r="A614" s="320" t="s">
        <v>371</v>
      </c>
      <c r="B614" s="321"/>
      <c r="C614" s="321"/>
      <c r="D614" s="320" t="s">
        <v>12</v>
      </c>
      <c r="E614" s="427"/>
      <c r="F614" s="427"/>
      <c r="G614" s="427"/>
      <c r="H614" s="427"/>
      <c r="I614" s="427"/>
      <c r="J614" s="427"/>
      <c r="K614" s="427"/>
      <c r="L614" s="264">
        <v>14601</v>
      </c>
      <c r="M614" s="264">
        <v>8167</v>
      </c>
      <c r="N614" s="189">
        <v>25000</v>
      </c>
      <c r="O614" s="189">
        <v>25000</v>
      </c>
      <c r="P614" s="188">
        <v>15000</v>
      </c>
      <c r="Q614" s="188">
        <v>15000</v>
      </c>
      <c r="R614" s="188">
        <v>15000</v>
      </c>
      <c r="S614" s="188">
        <v>15000</v>
      </c>
      <c r="T614" s="188">
        <v>15000</v>
      </c>
      <c r="V614" s="187"/>
    </row>
    <row r="615" spans="1:27" ht="24" customHeight="1">
      <c r="A615" s="320" t="s">
        <v>1077</v>
      </c>
      <c r="B615" s="321"/>
      <c r="C615" s="321"/>
      <c r="D615" s="320" t="s">
        <v>1075</v>
      </c>
      <c r="E615" s="321"/>
      <c r="F615" s="321"/>
      <c r="G615" s="321"/>
      <c r="H615" s="321"/>
      <c r="I615" s="321"/>
      <c r="J615" s="321"/>
      <c r="K615" s="321"/>
      <c r="L615" s="264">
        <v>0</v>
      </c>
      <c r="M615" s="264">
        <v>1092</v>
      </c>
      <c r="N615" s="189">
        <v>8500</v>
      </c>
      <c r="O615" s="189">
        <v>8500</v>
      </c>
      <c r="P615" s="188">
        <v>10000</v>
      </c>
      <c r="Q615" s="188">
        <v>10000</v>
      </c>
      <c r="R615" s="188">
        <v>10000</v>
      </c>
      <c r="S615" s="188">
        <v>10000</v>
      </c>
      <c r="T615" s="188">
        <v>10000</v>
      </c>
      <c r="V615" s="763"/>
      <c r="W615" s="763"/>
      <c r="X615" s="763"/>
      <c r="Z615" s="698"/>
      <c r="AA615" s="698"/>
    </row>
    <row r="616" spans="1:27" ht="24" customHeight="1">
      <c r="A616" s="320" t="s">
        <v>372</v>
      </c>
      <c r="B616" s="321"/>
      <c r="C616" s="321"/>
      <c r="D616" s="320" t="s">
        <v>16</v>
      </c>
      <c r="E616" s="321"/>
      <c r="F616" s="321"/>
      <c r="G616" s="321"/>
      <c r="H616" s="321"/>
      <c r="I616" s="321"/>
      <c r="J616" s="321"/>
      <c r="K616" s="321"/>
      <c r="L616" s="264">
        <v>3548</v>
      </c>
      <c r="M616" s="264">
        <v>1429</v>
      </c>
      <c r="N616" s="189">
        <v>2000</v>
      </c>
      <c r="O616" s="189">
        <v>2000</v>
      </c>
      <c r="P616" s="188">
        <f>1000+1000</f>
        <v>2000</v>
      </c>
      <c r="Q616" s="188">
        <f>1000+1000</f>
        <v>2000</v>
      </c>
      <c r="R616" s="188">
        <f>1000+1000</f>
        <v>2000</v>
      </c>
      <c r="S616" s="188">
        <f>1000+1000</f>
        <v>2000</v>
      </c>
      <c r="T616" s="188">
        <f>1000+1000</f>
        <v>2000</v>
      </c>
      <c r="V616" s="698"/>
      <c r="W616" s="711"/>
      <c r="X616" s="487"/>
      <c r="Z616" s="698"/>
      <c r="AA616" s="712"/>
    </row>
    <row r="617" spans="1:27" ht="24" customHeight="1">
      <c r="A617" s="320" t="s">
        <v>373</v>
      </c>
      <c r="B617" s="321"/>
      <c r="C617" s="321"/>
      <c r="D617" s="320" t="s">
        <v>249</v>
      </c>
      <c r="E617" s="427"/>
      <c r="F617" s="427"/>
      <c r="G617" s="427"/>
      <c r="H617" s="427"/>
      <c r="I617" s="427"/>
      <c r="J617" s="427"/>
      <c r="K617" s="427"/>
      <c r="L617" s="264">
        <v>104</v>
      </c>
      <c r="M617" s="264">
        <v>876</v>
      </c>
      <c r="N617" s="189">
        <v>6000</v>
      </c>
      <c r="O617" s="189">
        <v>6000</v>
      </c>
      <c r="P617" s="188">
        <v>2000</v>
      </c>
      <c r="Q617" s="188">
        <v>2000</v>
      </c>
      <c r="R617" s="188">
        <v>2000</v>
      </c>
      <c r="S617" s="188">
        <v>2000</v>
      </c>
      <c r="T617" s="188">
        <v>2000</v>
      </c>
    </row>
    <row r="618" spans="1:27" ht="24" customHeight="1">
      <c r="A618" s="320" t="s">
        <v>374</v>
      </c>
      <c r="B618" s="321"/>
      <c r="C618" s="321"/>
      <c r="D618" s="320" t="s">
        <v>375</v>
      </c>
      <c r="E618" s="321"/>
      <c r="F618" s="321"/>
      <c r="G618" s="321"/>
      <c r="H618" s="321"/>
      <c r="I618" s="321"/>
      <c r="J618" s="321"/>
      <c r="K618" s="321"/>
      <c r="L618" s="265">
        <v>155048</v>
      </c>
      <c r="M618" s="265">
        <v>125445</v>
      </c>
      <c r="N618" s="195">
        <v>155000</v>
      </c>
      <c r="O618" s="195">
        <v>155000</v>
      </c>
      <c r="P618" s="192">
        <v>165000</v>
      </c>
      <c r="Q618" s="192">
        <v>165000</v>
      </c>
      <c r="R618" s="192">
        <v>165000</v>
      </c>
      <c r="S618" s="192">
        <v>165000</v>
      </c>
      <c r="T618" s="192">
        <v>165000</v>
      </c>
    </row>
    <row r="619" spans="1:27" ht="24" customHeight="1">
      <c r="A619" s="320" t="s">
        <v>376</v>
      </c>
      <c r="B619" s="321"/>
      <c r="C619" s="321"/>
      <c r="D619" s="320" t="s">
        <v>1169</v>
      </c>
      <c r="E619" s="321"/>
      <c r="F619" s="321"/>
      <c r="G619" s="321"/>
      <c r="H619" s="321"/>
      <c r="I619" s="321"/>
      <c r="J619" s="321"/>
      <c r="K619" s="321"/>
      <c r="L619" s="264">
        <v>9892</v>
      </c>
      <c r="M619" s="264">
        <v>20785</v>
      </c>
      <c r="N619" s="189">
        <v>9500</v>
      </c>
      <c r="O619" s="189">
        <v>9500</v>
      </c>
      <c r="P619" s="188">
        <v>10500</v>
      </c>
      <c r="Q619" s="188">
        <v>10500</v>
      </c>
      <c r="R619" s="188">
        <v>10500</v>
      </c>
      <c r="S619" s="188">
        <v>10500</v>
      </c>
      <c r="T619" s="188">
        <v>10500</v>
      </c>
    </row>
    <row r="620" spans="1:27" ht="24" customHeight="1">
      <c r="A620" s="320" t="s">
        <v>377</v>
      </c>
      <c r="B620" s="255"/>
      <c r="C620" s="255"/>
      <c r="D620" s="320" t="s">
        <v>1172</v>
      </c>
      <c r="E620" s="255"/>
      <c r="F620" s="255"/>
      <c r="G620" s="255"/>
      <c r="H620" s="255"/>
      <c r="I620" s="255"/>
      <c r="J620" s="255"/>
      <c r="K620" s="255"/>
      <c r="L620" s="264">
        <v>32809</v>
      </c>
      <c r="M620" s="264">
        <v>51805</v>
      </c>
      <c r="N620" s="189">
        <v>46000</v>
      </c>
      <c r="O620" s="189">
        <v>46000</v>
      </c>
      <c r="P620" s="188">
        <f t="shared" ref="P620:T620" si="181">6000+40000</f>
        <v>46000</v>
      </c>
      <c r="Q620" s="188">
        <f t="shared" si="181"/>
        <v>46000</v>
      </c>
      <c r="R620" s="188">
        <f t="shared" si="181"/>
        <v>46000</v>
      </c>
      <c r="S620" s="188">
        <f t="shared" si="181"/>
        <v>46000</v>
      </c>
      <c r="T620" s="188">
        <f t="shared" si="181"/>
        <v>46000</v>
      </c>
    </row>
    <row r="621" spans="1:27" ht="24" customHeight="1">
      <c r="A621" s="320" t="s">
        <v>1203</v>
      </c>
      <c r="B621" s="416"/>
      <c r="C621" s="416"/>
      <c r="D621" s="320" t="s">
        <v>1204</v>
      </c>
      <c r="E621" s="642"/>
      <c r="F621" s="642"/>
      <c r="G621" s="642"/>
      <c r="H621" s="642"/>
      <c r="I621" s="642"/>
      <c r="J621" s="642"/>
      <c r="K621" s="642"/>
      <c r="L621" s="265">
        <v>0</v>
      </c>
      <c r="M621" s="265">
        <f>14+28+24+189+24+285+24+24+12+27+24+13+36+20+36+138+43+7</f>
        <v>968</v>
      </c>
      <c r="N621" s="195">
        <v>1500</v>
      </c>
      <c r="O621" s="195">
        <v>1500</v>
      </c>
      <c r="P621" s="192">
        <v>1500</v>
      </c>
      <c r="Q621" s="192">
        <v>1500</v>
      </c>
      <c r="R621" s="192">
        <v>1500</v>
      </c>
      <c r="S621" s="192">
        <v>1500</v>
      </c>
      <c r="T621" s="192">
        <v>1500</v>
      </c>
    </row>
    <row r="622" spans="1:27" ht="24" customHeight="1">
      <c r="A622" s="320" t="s">
        <v>378</v>
      </c>
      <c r="B622" s="321"/>
      <c r="C622" s="321"/>
      <c r="D622" s="320" t="s">
        <v>145</v>
      </c>
      <c r="E622" s="641"/>
      <c r="F622" s="641"/>
      <c r="G622" s="641"/>
      <c r="H622" s="641"/>
      <c r="I622" s="641"/>
      <c r="J622" s="641"/>
      <c r="K622" s="641"/>
      <c r="L622" s="265">
        <v>24155</v>
      </c>
      <c r="M622" s="265">
        <v>29622</v>
      </c>
      <c r="N622" s="195">
        <v>43734</v>
      </c>
      <c r="O622" s="195">
        <v>43734</v>
      </c>
      <c r="P622" s="192">
        <f t="shared" ref="P622:T622" si="182">ROUND(O622*1.07,0)</f>
        <v>46795</v>
      </c>
      <c r="Q622" s="192">
        <f t="shared" si="182"/>
        <v>50071</v>
      </c>
      <c r="R622" s="192">
        <f t="shared" si="182"/>
        <v>53576</v>
      </c>
      <c r="S622" s="192">
        <f t="shared" si="182"/>
        <v>57326</v>
      </c>
      <c r="T622" s="192">
        <f t="shared" si="182"/>
        <v>61339</v>
      </c>
      <c r="V622" s="187"/>
    </row>
    <row r="623" spans="1:27" ht="24" customHeight="1">
      <c r="A623" s="320" t="s">
        <v>1406</v>
      </c>
      <c r="B623" s="635"/>
      <c r="C623" s="635"/>
      <c r="D623" s="322" t="s">
        <v>1407</v>
      </c>
      <c r="E623" s="640"/>
      <c r="F623" s="640"/>
      <c r="G623" s="640"/>
      <c r="H623" s="640"/>
      <c r="I623" s="640"/>
      <c r="J623" s="640"/>
      <c r="K623" s="640"/>
      <c r="L623" s="265">
        <v>0</v>
      </c>
      <c r="M623" s="265">
        <v>0</v>
      </c>
      <c r="N623" s="195">
        <v>0</v>
      </c>
      <c r="O623" s="195">
        <v>0</v>
      </c>
      <c r="P623" s="192">
        <f>13000+13000+117000</f>
        <v>143000</v>
      </c>
      <c r="Q623" s="192">
        <v>0</v>
      </c>
      <c r="R623" s="192">
        <f>13000+13000+140000</f>
        <v>166000</v>
      </c>
      <c r="S623" s="192">
        <f>11500+11500+100000</f>
        <v>123000</v>
      </c>
      <c r="T623" s="192">
        <f>13000+13000+124000</f>
        <v>150000</v>
      </c>
      <c r="V623" s="187"/>
    </row>
    <row r="624" spans="1:27" ht="24" customHeight="1">
      <c r="A624" s="320" t="s">
        <v>1181</v>
      </c>
      <c r="B624" s="321"/>
      <c r="C624" s="321"/>
      <c r="D624" s="322" t="s">
        <v>1178</v>
      </c>
      <c r="E624" s="321"/>
      <c r="F624" s="321"/>
      <c r="G624" s="321"/>
      <c r="H624" s="321"/>
      <c r="I624" s="321"/>
      <c r="J624" s="321"/>
      <c r="K624" s="321"/>
      <c r="L624" s="265">
        <v>0</v>
      </c>
      <c r="M624" s="265">
        <v>153305</v>
      </c>
      <c r="N624" s="195">
        <v>353000</v>
      </c>
      <c r="O624" s="195">
        <v>353000</v>
      </c>
      <c r="P624" s="192">
        <v>300000</v>
      </c>
      <c r="Q624" s="192">
        <v>300000</v>
      </c>
      <c r="R624" s="192">
        <v>100000</v>
      </c>
      <c r="S624" s="192">
        <v>100000</v>
      </c>
      <c r="T624" s="192">
        <v>100000</v>
      </c>
      <c r="V624" s="187"/>
    </row>
    <row r="625" spans="1:38" ht="24" customHeight="1">
      <c r="A625" s="320" t="s">
        <v>765</v>
      </c>
      <c r="B625" s="335"/>
      <c r="C625" s="335"/>
      <c r="D625" s="320" t="s">
        <v>305</v>
      </c>
      <c r="E625" s="338"/>
      <c r="F625" s="335"/>
      <c r="G625" s="335"/>
      <c r="H625" s="335"/>
      <c r="I625" s="335"/>
      <c r="J625" s="335"/>
      <c r="K625" s="335"/>
      <c r="L625" s="265">
        <v>0</v>
      </c>
      <c r="M625" s="265">
        <v>0</v>
      </c>
      <c r="N625" s="195">
        <v>5000</v>
      </c>
      <c r="O625" s="195">
        <v>5000</v>
      </c>
      <c r="P625" s="192">
        <f t="shared" ref="P625:T625" si="183">ROUND(10000/2,0)</f>
        <v>5000</v>
      </c>
      <c r="Q625" s="192">
        <f t="shared" si="183"/>
        <v>5000</v>
      </c>
      <c r="R625" s="192">
        <f t="shared" si="183"/>
        <v>5000</v>
      </c>
      <c r="S625" s="192">
        <f t="shared" si="183"/>
        <v>5000</v>
      </c>
      <c r="T625" s="192">
        <f t="shared" si="183"/>
        <v>5000</v>
      </c>
      <c r="V625" s="190"/>
    </row>
    <row r="626" spans="1:38" ht="24" customHeight="1">
      <c r="A626" s="320" t="s">
        <v>1253</v>
      </c>
      <c r="B626" s="335"/>
      <c r="C626" s="335"/>
      <c r="D626" s="1" t="s">
        <v>1254</v>
      </c>
      <c r="E626" s="338"/>
      <c r="F626" s="335"/>
      <c r="G626" s="335"/>
      <c r="H626" s="335"/>
      <c r="I626" s="335"/>
      <c r="J626" s="335"/>
      <c r="K626" s="335"/>
      <c r="L626" s="265">
        <v>0</v>
      </c>
      <c r="M626" s="265">
        <v>0</v>
      </c>
      <c r="N626" s="195">
        <v>0</v>
      </c>
      <c r="O626" s="195">
        <v>0</v>
      </c>
      <c r="P626" s="222">
        <v>35000</v>
      </c>
      <c r="Q626" s="222">
        <v>35000</v>
      </c>
      <c r="R626" s="222">
        <f>43750+437500</f>
        <v>481250</v>
      </c>
      <c r="S626" s="222">
        <f>43750+437500</f>
        <v>481250</v>
      </c>
      <c r="T626" s="192">
        <v>0</v>
      </c>
      <c r="V626" s="190"/>
    </row>
    <row r="627" spans="1:38" ht="24" customHeight="1">
      <c r="A627" s="320" t="s">
        <v>1080</v>
      </c>
      <c r="B627" s="335"/>
      <c r="C627" s="335"/>
      <c r="D627" s="320" t="s">
        <v>306</v>
      </c>
      <c r="E627" s="338"/>
      <c r="F627" s="335"/>
      <c r="G627" s="335"/>
      <c r="H627" s="335"/>
      <c r="I627" s="335"/>
      <c r="J627" s="335"/>
      <c r="K627" s="335"/>
      <c r="L627" s="265">
        <v>0</v>
      </c>
      <c r="M627" s="265">
        <v>0</v>
      </c>
      <c r="N627" s="195">
        <v>18000</v>
      </c>
      <c r="O627" s="195">
        <v>0</v>
      </c>
      <c r="P627" s="192">
        <v>18000</v>
      </c>
      <c r="Q627" s="192">
        <v>0</v>
      </c>
      <c r="R627" s="192">
        <v>0</v>
      </c>
      <c r="S627" s="192">
        <v>0</v>
      </c>
      <c r="T627" s="192">
        <v>0</v>
      </c>
      <c r="V627" s="190"/>
    </row>
    <row r="628" spans="1:38" ht="24" customHeight="1">
      <c r="A628" s="320" t="s">
        <v>379</v>
      </c>
      <c r="B628" s="335"/>
      <c r="C628" s="335"/>
      <c r="D628" s="320" t="s">
        <v>301</v>
      </c>
      <c r="E628" s="338"/>
      <c r="F628" s="335"/>
      <c r="G628" s="335"/>
      <c r="H628" s="335"/>
      <c r="I628" s="335"/>
      <c r="J628" s="335"/>
      <c r="K628" s="335"/>
      <c r="L628" s="266">
        <v>75305</v>
      </c>
      <c r="M628" s="266">
        <v>129094</v>
      </c>
      <c r="N628" s="194">
        <v>195548</v>
      </c>
      <c r="O628" s="186">
        <f>ROUND(16462*12,0)</f>
        <v>197544</v>
      </c>
      <c r="P628" s="185">
        <f t="shared" ref="P628:T628" si="184">ROUND(16462*12,0)</f>
        <v>197544</v>
      </c>
      <c r="Q628" s="185">
        <f t="shared" si="184"/>
        <v>197544</v>
      </c>
      <c r="R628" s="185">
        <f t="shared" si="184"/>
        <v>197544</v>
      </c>
      <c r="S628" s="185">
        <f t="shared" si="184"/>
        <v>197544</v>
      </c>
      <c r="T628" s="185">
        <f t="shared" si="184"/>
        <v>197544</v>
      </c>
      <c r="U628" s="402"/>
      <c r="V628" s="243"/>
      <c r="W628" s="242"/>
    </row>
    <row r="629" spans="1:38" ht="24" customHeight="1">
      <c r="A629" s="320" t="s">
        <v>1424</v>
      </c>
      <c r="B629" s="323"/>
      <c r="C629" s="323"/>
      <c r="D629" s="1" t="s">
        <v>1420</v>
      </c>
      <c r="E629" s="335"/>
      <c r="F629" s="335"/>
      <c r="G629" s="335"/>
      <c r="H629" s="335"/>
      <c r="I629" s="335"/>
      <c r="J629" s="335"/>
      <c r="K629" s="335"/>
      <c r="L629" s="265">
        <v>0</v>
      </c>
      <c r="M629" s="265">
        <v>0</v>
      </c>
      <c r="N629" s="195">
        <v>0</v>
      </c>
      <c r="O629" s="195">
        <v>0</v>
      </c>
      <c r="P629" s="192">
        <v>4250000</v>
      </c>
      <c r="Q629" s="192">
        <v>0</v>
      </c>
      <c r="R629" s="192">
        <v>0</v>
      </c>
      <c r="S629" s="192">
        <v>0</v>
      </c>
      <c r="T629" s="192">
        <v>0</v>
      </c>
      <c r="U629" s="397"/>
      <c r="V629" s="596"/>
      <c r="W629" s="227"/>
    </row>
    <row r="630" spans="1:38" ht="24" customHeight="1">
      <c r="A630" s="320" t="s">
        <v>380</v>
      </c>
      <c r="B630" s="595"/>
      <c r="C630" s="595"/>
      <c r="D630" s="320" t="s">
        <v>381</v>
      </c>
      <c r="E630" s="595"/>
      <c r="F630" s="595"/>
      <c r="G630" s="595"/>
      <c r="H630" s="595"/>
      <c r="I630" s="595"/>
      <c r="J630" s="595"/>
      <c r="K630" s="595"/>
      <c r="L630" s="264">
        <v>160921</v>
      </c>
      <c r="M630" s="264">
        <v>0</v>
      </c>
      <c r="N630" s="189">
        <v>0</v>
      </c>
      <c r="O630" s="189">
        <v>0</v>
      </c>
      <c r="P630" s="188">
        <v>0</v>
      </c>
      <c r="Q630" s="188">
        <v>0</v>
      </c>
      <c r="R630" s="188">
        <v>0</v>
      </c>
      <c r="S630" s="188">
        <v>0</v>
      </c>
      <c r="T630" s="188">
        <v>0</v>
      </c>
      <c r="V630" s="761"/>
      <c r="W630" s="761"/>
      <c r="X630" s="761"/>
      <c r="Y630" s="761"/>
      <c r="Z630" s="761"/>
      <c r="AA630" s="761"/>
      <c r="AB630" s="488"/>
      <c r="AC630" s="488"/>
    </row>
    <row r="631" spans="1:38" ht="24" customHeight="1">
      <c r="A631" s="326" t="s">
        <v>1421</v>
      </c>
      <c r="B631" s="594"/>
      <c r="C631" s="594"/>
      <c r="D631" s="320"/>
      <c r="E631" s="594"/>
      <c r="F631" s="594"/>
      <c r="G631" s="594"/>
      <c r="H631" s="594"/>
      <c r="I631" s="594"/>
      <c r="J631" s="594"/>
      <c r="K631" s="594"/>
      <c r="L631" s="264"/>
      <c r="M631" s="264"/>
      <c r="N631" s="189"/>
      <c r="O631" s="189"/>
      <c r="P631" s="188"/>
      <c r="Q631" s="188"/>
      <c r="R631" s="188"/>
      <c r="S631" s="188"/>
      <c r="T631" s="188"/>
      <c r="V631" s="529"/>
      <c r="W631" s="529"/>
      <c r="X631" s="529"/>
      <c r="Y631" s="529"/>
      <c r="Z631" s="529"/>
      <c r="AA631" s="529"/>
      <c r="AB631" s="529"/>
      <c r="AC631" s="529"/>
      <c r="AD631" s="529"/>
      <c r="AE631" s="529"/>
      <c r="AF631" s="529"/>
      <c r="AG631" s="529"/>
      <c r="AH631" s="529"/>
      <c r="AI631" s="529"/>
      <c r="AJ631" s="529"/>
    </row>
    <row r="632" spans="1:38" ht="24" customHeight="1">
      <c r="A632" s="320" t="s">
        <v>1422</v>
      </c>
      <c r="B632" s="594"/>
      <c r="C632" s="594"/>
      <c r="D632" s="320" t="s">
        <v>1117</v>
      </c>
      <c r="E632" s="594"/>
      <c r="F632" s="594"/>
      <c r="G632" s="594"/>
      <c r="H632" s="594"/>
      <c r="I632" s="594"/>
      <c r="J632" s="594"/>
      <c r="K632" s="594"/>
      <c r="L632" s="264">
        <v>0</v>
      </c>
      <c r="M632" s="264">
        <v>0</v>
      </c>
      <c r="N632" s="189">
        <v>0</v>
      </c>
      <c r="O632" s="189">
        <v>0</v>
      </c>
      <c r="P632" s="188">
        <v>0</v>
      </c>
      <c r="Q632" s="188">
        <v>190000</v>
      </c>
      <c r="R632" s="188">
        <v>190000</v>
      </c>
      <c r="S632" s="188">
        <v>190000</v>
      </c>
      <c r="T632" s="188">
        <v>195000</v>
      </c>
      <c r="V632" s="713"/>
      <c r="W632" s="713"/>
      <c r="X632" s="713"/>
      <c r="Y632" s="713"/>
      <c r="Z632" s="713"/>
      <c r="AA632" s="713"/>
      <c r="AB632" s="713"/>
      <c r="AC632" s="713"/>
      <c r="AD632" s="713"/>
      <c r="AE632" s="713"/>
      <c r="AF632" s="713"/>
      <c r="AG632" s="713"/>
      <c r="AH632" s="713"/>
      <c r="AI632" s="713"/>
      <c r="AJ632" s="713"/>
    </row>
    <row r="633" spans="1:38" ht="24" customHeight="1">
      <c r="A633" s="320" t="s">
        <v>1423</v>
      </c>
      <c r="B633" s="594"/>
      <c r="C633" s="594"/>
      <c r="D633" s="320" t="s">
        <v>309</v>
      </c>
      <c r="E633" s="594"/>
      <c r="F633" s="594"/>
      <c r="G633" s="594"/>
      <c r="H633" s="594"/>
      <c r="I633" s="594"/>
      <c r="J633" s="594"/>
      <c r="K633" s="594"/>
      <c r="L633" s="265">
        <v>0</v>
      </c>
      <c r="M633" s="265">
        <v>0</v>
      </c>
      <c r="N633" s="195">
        <v>0</v>
      </c>
      <c r="O633" s="195">
        <v>0</v>
      </c>
      <c r="P633" s="192">
        <v>83016</v>
      </c>
      <c r="Q633" s="188">
        <v>110688</v>
      </c>
      <c r="R633" s="188">
        <v>109168</v>
      </c>
      <c r="S633" s="188">
        <v>107268</v>
      </c>
      <c r="T633" s="188">
        <v>104893</v>
      </c>
      <c r="V633" s="713"/>
      <c r="W633" s="713"/>
      <c r="X633" s="713"/>
      <c r="Y633" s="713"/>
      <c r="Z633" s="713"/>
      <c r="AA633" s="713"/>
      <c r="AB633" s="713"/>
      <c r="AC633" s="713"/>
      <c r="AD633" s="713"/>
      <c r="AE633" s="713"/>
      <c r="AF633" s="713"/>
      <c r="AG633" s="713"/>
      <c r="AH633" s="713"/>
      <c r="AI633" s="713"/>
      <c r="AJ633" s="713"/>
    </row>
    <row r="634" spans="1:38" ht="24" customHeight="1">
      <c r="A634" s="324" t="s">
        <v>382</v>
      </c>
      <c r="B634" s="324"/>
      <c r="C634" s="324"/>
      <c r="D634" s="324"/>
      <c r="E634" s="324"/>
      <c r="F634" s="324"/>
      <c r="G634" s="324"/>
      <c r="H634" s="324"/>
      <c r="I634" s="324"/>
      <c r="J634" s="324"/>
      <c r="K634" s="324"/>
      <c r="L634" s="273"/>
      <c r="M634" s="273"/>
      <c r="N634" s="204"/>
      <c r="O634" s="204"/>
      <c r="P634" s="203"/>
      <c r="Q634" s="203"/>
      <c r="R634" s="203"/>
      <c r="S634" s="203"/>
      <c r="T634" s="203"/>
      <c r="V634" s="529"/>
      <c r="W634" s="529"/>
      <c r="X634" s="529"/>
      <c r="Y634" s="529"/>
      <c r="Z634" s="529"/>
      <c r="AA634" s="529"/>
      <c r="AB634" s="529"/>
      <c r="AE634" s="696"/>
      <c r="AF634" s="696"/>
      <c r="AG634" s="696"/>
      <c r="AH634" s="696"/>
      <c r="AI634" s="696"/>
      <c r="AJ634" s="696"/>
      <c r="AK634" s="249"/>
      <c r="AL634" s="249"/>
    </row>
    <row r="635" spans="1:38" ht="24" customHeight="1">
      <c r="A635" s="320" t="s">
        <v>383</v>
      </c>
      <c r="B635" s="321"/>
      <c r="C635" s="321"/>
      <c r="D635" s="320" t="s">
        <v>1117</v>
      </c>
      <c r="E635" s="321"/>
      <c r="F635" s="321"/>
      <c r="G635" s="321"/>
      <c r="H635" s="321"/>
      <c r="I635" s="321"/>
      <c r="J635" s="321"/>
      <c r="K635" s="321"/>
      <c r="L635" s="264">
        <v>10000</v>
      </c>
      <c r="M635" s="264">
        <v>15000</v>
      </c>
      <c r="N635" s="189">
        <v>15000</v>
      </c>
      <c r="O635" s="189">
        <v>15000</v>
      </c>
      <c r="P635" s="188">
        <v>15000</v>
      </c>
      <c r="Q635" s="188">
        <v>15000</v>
      </c>
      <c r="R635" s="188">
        <v>15000</v>
      </c>
      <c r="S635" s="188">
        <v>15000</v>
      </c>
      <c r="T635" s="188">
        <v>680000</v>
      </c>
      <c r="V635" s="530"/>
      <c r="W635" s="530"/>
      <c r="X635" s="530"/>
      <c r="Y635" s="530"/>
      <c r="Z635" s="530"/>
      <c r="AA635" s="530"/>
      <c r="AB635" s="530"/>
      <c r="AC635" s="530"/>
      <c r="AD635" s="530"/>
      <c r="AE635" s="530"/>
      <c r="AF635" s="530"/>
      <c r="AG635" s="530"/>
      <c r="AH635" s="530"/>
      <c r="AI635" s="530"/>
      <c r="AJ635" s="530"/>
    </row>
    <row r="636" spans="1:38" ht="24" customHeight="1">
      <c r="A636" s="320" t="s">
        <v>384</v>
      </c>
      <c r="B636" s="321"/>
      <c r="C636" s="321"/>
      <c r="D636" s="320" t="s">
        <v>309</v>
      </c>
      <c r="E636" s="321"/>
      <c r="F636" s="321"/>
      <c r="G636" s="321"/>
      <c r="H636" s="321"/>
      <c r="I636" s="321"/>
      <c r="J636" s="321"/>
      <c r="K636" s="321"/>
      <c r="L636" s="266">
        <v>123454</v>
      </c>
      <c r="M636" s="266">
        <v>123041</v>
      </c>
      <c r="N636" s="189">
        <v>122423</v>
      </c>
      <c r="O636" s="189">
        <v>122423</v>
      </c>
      <c r="P636" s="188">
        <v>121793</v>
      </c>
      <c r="Q636" s="188">
        <v>121163</v>
      </c>
      <c r="R636" s="188">
        <v>120525</v>
      </c>
      <c r="S636" s="188">
        <v>119888</v>
      </c>
      <c r="T636" s="188">
        <v>119250</v>
      </c>
      <c r="V636" s="530"/>
      <c r="W636" s="530"/>
      <c r="X636" s="530"/>
      <c r="Y636" s="530"/>
      <c r="Z636" s="530"/>
      <c r="AA636" s="530"/>
      <c r="AB636" s="530"/>
      <c r="AC636" s="530"/>
      <c r="AD636" s="530"/>
      <c r="AE636" s="530"/>
      <c r="AF636" s="530"/>
      <c r="AG636" s="530"/>
      <c r="AH636" s="530"/>
      <c r="AI636" s="530"/>
      <c r="AJ636" s="530"/>
    </row>
    <row r="637" spans="1:38" ht="24" customHeight="1">
      <c r="A637" s="324" t="s">
        <v>385</v>
      </c>
      <c r="B637" s="324"/>
      <c r="C637" s="324"/>
      <c r="D637" s="324"/>
      <c r="E637" s="324"/>
      <c r="F637" s="324"/>
      <c r="G637" s="324"/>
      <c r="H637" s="324"/>
      <c r="I637" s="324"/>
      <c r="J637" s="324"/>
      <c r="K637" s="324"/>
      <c r="L637" s="273"/>
      <c r="M637" s="273"/>
      <c r="N637" s="204"/>
      <c r="O637" s="204"/>
      <c r="P637" s="203"/>
      <c r="Q637" s="203"/>
      <c r="R637" s="203"/>
      <c r="S637" s="203"/>
      <c r="T637" s="203"/>
      <c r="V637" s="530"/>
      <c r="W637" s="530"/>
      <c r="X637" s="530"/>
      <c r="Y637" s="530"/>
      <c r="Z637" s="530"/>
      <c r="AA637" s="530"/>
      <c r="AB637" s="530"/>
      <c r="AC637" s="530"/>
      <c r="AD637" s="530"/>
      <c r="AE637" s="530"/>
      <c r="AF637" s="530"/>
      <c r="AG637" s="530"/>
      <c r="AH637" s="530"/>
      <c r="AI637" s="530"/>
      <c r="AJ637" s="530"/>
    </row>
    <row r="638" spans="1:38" ht="24" customHeight="1">
      <c r="A638" s="320" t="s">
        <v>386</v>
      </c>
      <c r="B638" s="321"/>
      <c r="C638" s="321"/>
      <c r="D638" s="320" t="s">
        <v>1117</v>
      </c>
      <c r="E638" s="321"/>
      <c r="F638" s="321"/>
      <c r="G638" s="321"/>
      <c r="H638" s="321"/>
      <c r="I638" s="321"/>
      <c r="J638" s="321"/>
      <c r="K638" s="321"/>
      <c r="L638" s="264">
        <v>365000</v>
      </c>
      <c r="M638" s="264">
        <v>0</v>
      </c>
      <c r="N638" s="189">
        <v>0</v>
      </c>
      <c r="O638" s="189">
        <v>0</v>
      </c>
      <c r="P638" s="188">
        <v>0</v>
      </c>
      <c r="Q638" s="188">
        <v>0</v>
      </c>
      <c r="R638" s="188">
        <v>0</v>
      </c>
      <c r="S638" s="188">
        <v>0</v>
      </c>
      <c r="T638" s="188">
        <v>0</v>
      </c>
      <c r="V638" s="530"/>
      <c r="W638" s="530"/>
      <c r="X638" s="530"/>
      <c r="Y638" s="530"/>
      <c r="Z638" s="530"/>
      <c r="AA638" s="530"/>
      <c r="AB638" s="530"/>
      <c r="AC638" s="530"/>
      <c r="AD638" s="530"/>
      <c r="AE638" s="530"/>
      <c r="AF638" s="530"/>
      <c r="AG638" s="530"/>
      <c r="AH638" s="530"/>
      <c r="AI638" s="530"/>
      <c r="AJ638" s="530"/>
    </row>
    <row r="639" spans="1:38" ht="24" customHeight="1">
      <c r="A639" s="324" t="s">
        <v>387</v>
      </c>
      <c r="B639" s="324"/>
      <c r="C639" s="324"/>
      <c r="D639" s="324"/>
      <c r="E639" s="324"/>
      <c r="F639" s="324"/>
      <c r="G639" s="324"/>
      <c r="H639" s="324"/>
      <c r="I639" s="324"/>
      <c r="J639" s="324"/>
      <c r="K639" s="324"/>
      <c r="L639" s="273"/>
      <c r="M639" s="273"/>
      <c r="N639" s="204"/>
      <c r="O639" s="204"/>
      <c r="P639" s="203"/>
      <c r="Q639" s="203"/>
      <c r="R639" s="203"/>
      <c r="S639" s="203"/>
      <c r="T639" s="203"/>
      <c r="V639" s="530"/>
      <c r="W639" s="530"/>
      <c r="X639" s="530"/>
      <c r="Y639" s="530"/>
      <c r="Z639" s="530"/>
      <c r="AA639" s="530"/>
      <c r="AB639" s="530"/>
      <c r="AC639" s="530"/>
      <c r="AD639" s="530"/>
      <c r="AE639" s="530"/>
      <c r="AF639" s="530"/>
      <c r="AG639" s="530"/>
      <c r="AH639" s="530"/>
      <c r="AI639" s="530"/>
      <c r="AJ639" s="530"/>
    </row>
    <row r="640" spans="1:38" ht="24" customHeight="1">
      <c r="A640" s="320" t="s">
        <v>388</v>
      </c>
      <c r="B640" s="321"/>
      <c r="C640" s="321"/>
      <c r="D640" s="320" t="s">
        <v>1117</v>
      </c>
      <c r="E640" s="321"/>
      <c r="F640" s="321"/>
      <c r="G640" s="321"/>
      <c r="H640" s="321"/>
      <c r="I640" s="321"/>
      <c r="J640" s="321"/>
      <c r="K640" s="321"/>
      <c r="L640" s="264">
        <v>0</v>
      </c>
      <c r="M640" s="264">
        <v>100000</v>
      </c>
      <c r="N640" s="189">
        <v>100000</v>
      </c>
      <c r="O640" s="189">
        <v>100000</v>
      </c>
      <c r="P640" s="188">
        <v>100000</v>
      </c>
      <c r="Q640" s="188">
        <v>100000</v>
      </c>
      <c r="R640" s="188">
        <v>100000</v>
      </c>
      <c r="S640" s="188">
        <v>300000</v>
      </c>
      <c r="T640" s="188">
        <v>0</v>
      </c>
      <c r="V640" s="530"/>
      <c r="W640" s="530"/>
      <c r="X640" s="530"/>
      <c r="Y640" s="530"/>
      <c r="Z640" s="530"/>
      <c r="AA640" s="530"/>
      <c r="AB640" s="530"/>
      <c r="AC640" s="530"/>
      <c r="AD640" s="530"/>
      <c r="AE640" s="530"/>
      <c r="AF640" s="530"/>
      <c r="AG640" s="530"/>
      <c r="AH640" s="530"/>
      <c r="AI640" s="530"/>
      <c r="AJ640" s="530"/>
    </row>
    <row r="641" spans="1:38" ht="24" customHeight="1">
      <c r="A641" s="320" t="s">
        <v>389</v>
      </c>
      <c r="B641" s="321"/>
      <c r="C641" s="321"/>
      <c r="D641" s="320" t="s">
        <v>1194</v>
      </c>
      <c r="E641" s="321"/>
      <c r="F641" s="321"/>
      <c r="G641" s="321"/>
      <c r="H641" s="321"/>
      <c r="I641" s="321"/>
      <c r="J641" s="321"/>
      <c r="K641" s="321"/>
      <c r="L641" s="266">
        <v>33150</v>
      </c>
      <c r="M641" s="266">
        <v>33150</v>
      </c>
      <c r="N641" s="189">
        <v>29350</v>
      </c>
      <c r="O641" s="189">
        <v>29350</v>
      </c>
      <c r="P641" s="188">
        <v>25450</v>
      </c>
      <c r="Q641" s="188">
        <v>21450</v>
      </c>
      <c r="R641" s="188">
        <v>17300</v>
      </c>
      <c r="S641" s="188">
        <v>13050</v>
      </c>
      <c r="T641" s="188">
        <v>0</v>
      </c>
      <c r="V641" s="530"/>
      <c r="W641" s="530"/>
      <c r="X641" s="530"/>
      <c r="Y641" s="530"/>
      <c r="Z641" s="530"/>
      <c r="AA641" s="530"/>
      <c r="AB641" s="530"/>
      <c r="AC641" s="530"/>
      <c r="AD641" s="530"/>
      <c r="AE641" s="530"/>
      <c r="AF641" s="530"/>
      <c r="AG641" s="530"/>
      <c r="AH641" s="530"/>
      <c r="AI641" s="530"/>
      <c r="AJ641" s="530"/>
    </row>
    <row r="642" spans="1:38" ht="24" customHeight="1">
      <c r="A642" s="324" t="s">
        <v>390</v>
      </c>
      <c r="B642" s="324"/>
      <c r="C642" s="324"/>
      <c r="D642" s="324"/>
      <c r="E642" s="324"/>
      <c r="F642" s="324"/>
      <c r="G642" s="324"/>
      <c r="H642" s="324"/>
      <c r="I642" s="324"/>
      <c r="J642" s="324"/>
      <c r="K642" s="324"/>
      <c r="L642" s="273"/>
      <c r="M642" s="273"/>
      <c r="N642" s="204"/>
      <c r="O642" s="204"/>
      <c r="P642" s="203"/>
      <c r="Q642" s="203"/>
      <c r="R642" s="203"/>
      <c r="S642" s="203"/>
      <c r="T642" s="203"/>
      <c r="V642" s="530"/>
      <c r="W642" s="530"/>
      <c r="X642" s="530"/>
      <c r="Y642" s="530"/>
      <c r="Z642" s="530"/>
      <c r="AA642" s="530"/>
      <c r="AB642" s="530"/>
      <c r="AC642" s="530"/>
      <c r="AD642" s="530"/>
      <c r="AE642" s="530"/>
      <c r="AF642" s="530"/>
      <c r="AG642" s="530"/>
      <c r="AH642" s="530"/>
      <c r="AI642" s="530"/>
      <c r="AJ642" s="530"/>
    </row>
    <row r="643" spans="1:38" ht="24" customHeight="1">
      <c r="A643" s="320" t="s">
        <v>391</v>
      </c>
      <c r="B643" s="321"/>
      <c r="C643" s="321"/>
      <c r="D643" s="320" t="s">
        <v>1117</v>
      </c>
      <c r="E643" s="321"/>
      <c r="F643" s="321"/>
      <c r="G643" s="321"/>
      <c r="H643" s="321"/>
      <c r="I643" s="321"/>
      <c r="J643" s="321"/>
      <c r="K643" s="321"/>
      <c r="L643" s="264">
        <v>355000</v>
      </c>
      <c r="M643" s="264">
        <v>405000</v>
      </c>
      <c r="N643" s="189">
        <v>420000</v>
      </c>
      <c r="O643" s="189">
        <v>420000</v>
      </c>
      <c r="P643" s="188">
        <v>435000</v>
      </c>
      <c r="Q643" s="188">
        <v>460000</v>
      </c>
      <c r="R643" s="188">
        <v>475000</v>
      </c>
      <c r="S643" s="188">
        <v>495000</v>
      </c>
      <c r="T643" s="188">
        <v>850000</v>
      </c>
      <c r="V643" s="530"/>
      <c r="W643" s="530"/>
      <c r="X643" s="530"/>
      <c r="Y643" s="530"/>
      <c r="Z643" s="530"/>
      <c r="AA643" s="530"/>
      <c r="AB643" s="530"/>
      <c r="AC643" s="530"/>
      <c r="AD643" s="530"/>
      <c r="AE643" s="530"/>
      <c r="AF643" s="530"/>
      <c r="AG643" s="530"/>
      <c r="AH643" s="530"/>
      <c r="AI643" s="530"/>
      <c r="AJ643" s="530"/>
    </row>
    <row r="644" spans="1:38" ht="24" customHeight="1">
      <c r="A644" s="320" t="s">
        <v>392</v>
      </c>
      <c r="B644" s="321"/>
      <c r="C644" s="321"/>
      <c r="D644" s="320" t="s">
        <v>1194</v>
      </c>
      <c r="E644" s="321"/>
      <c r="F644" s="321"/>
      <c r="G644" s="321"/>
      <c r="H644" s="321"/>
      <c r="I644" s="321"/>
      <c r="J644" s="321"/>
      <c r="K644" s="321"/>
      <c r="L644" s="266">
        <v>219806</v>
      </c>
      <c r="M644" s="266">
        <v>205606</v>
      </c>
      <c r="N644" s="189">
        <v>189406</v>
      </c>
      <c r="O644" s="189">
        <v>189406</v>
      </c>
      <c r="P644" s="188">
        <v>172606</v>
      </c>
      <c r="Q644" s="188">
        <v>155206</v>
      </c>
      <c r="R644" s="188">
        <v>136806</v>
      </c>
      <c r="S644" s="188">
        <v>117806</v>
      </c>
      <c r="T644" s="188">
        <v>98006</v>
      </c>
      <c r="V644" s="530"/>
      <c r="W644" s="530"/>
      <c r="X644" s="530"/>
      <c r="Y644" s="530"/>
      <c r="Z644" s="530"/>
      <c r="AA644" s="530"/>
      <c r="AB644" s="530"/>
      <c r="AC644" s="530"/>
      <c r="AD644" s="530"/>
      <c r="AE644" s="530"/>
      <c r="AF644" s="530"/>
      <c r="AG644" s="530"/>
      <c r="AH644" s="530"/>
      <c r="AI644" s="530"/>
      <c r="AJ644" s="530"/>
    </row>
    <row r="645" spans="1:38" ht="24" customHeight="1">
      <c r="A645" s="324" t="s">
        <v>393</v>
      </c>
      <c r="B645" s="324"/>
      <c r="C645" s="324"/>
      <c r="D645" s="324"/>
      <c r="E645" s="324"/>
      <c r="F645" s="324"/>
      <c r="G645" s="324"/>
      <c r="H645" s="324"/>
      <c r="I645" s="324"/>
      <c r="J645" s="324"/>
      <c r="K645" s="324"/>
      <c r="L645" s="273"/>
      <c r="M645" s="273"/>
      <c r="N645" s="204"/>
      <c r="O645" s="204"/>
      <c r="P645" s="203"/>
      <c r="Q645" s="203"/>
      <c r="R645" s="203"/>
      <c r="S645" s="203"/>
      <c r="T645" s="203"/>
      <c r="V645" s="530"/>
      <c r="W645" s="530"/>
      <c r="X645" s="530"/>
      <c r="Y645" s="530"/>
      <c r="Z645" s="530"/>
      <c r="AA645" s="530"/>
      <c r="AB645" s="530"/>
      <c r="AC645" s="530"/>
      <c r="AD645" s="530"/>
      <c r="AE645" s="530"/>
      <c r="AF645" s="530"/>
      <c r="AG645" s="530"/>
      <c r="AH645" s="530"/>
      <c r="AI645" s="530"/>
      <c r="AJ645" s="530"/>
    </row>
    <row r="646" spans="1:38" ht="24" customHeight="1">
      <c r="A646" s="320" t="s">
        <v>394</v>
      </c>
      <c r="B646" s="321"/>
      <c r="C646" s="321"/>
      <c r="D646" s="320" t="s">
        <v>1117</v>
      </c>
      <c r="E646" s="321"/>
      <c r="F646" s="321"/>
      <c r="G646" s="321"/>
      <c r="H646" s="321"/>
      <c r="I646" s="321"/>
      <c r="J646" s="321"/>
      <c r="K646" s="321"/>
      <c r="L646" s="264">
        <v>90000</v>
      </c>
      <c r="M646" s="264">
        <v>95000</v>
      </c>
      <c r="N646" s="189">
        <v>100000</v>
      </c>
      <c r="O646" s="189">
        <v>100000</v>
      </c>
      <c r="P646" s="188">
        <v>0</v>
      </c>
      <c r="Q646" s="188">
        <v>0</v>
      </c>
      <c r="R646" s="188">
        <v>0</v>
      </c>
      <c r="S646" s="188">
        <v>0</v>
      </c>
      <c r="T646" s="188">
        <v>0</v>
      </c>
      <c r="V646" s="530"/>
      <c r="W646" s="530"/>
      <c r="X646" s="530"/>
      <c r="Y646" s="530"/>
      <c r="Z646" s="530"/>
      <c r="AA646" s="530"/>
      <c r="AB646" s="530"/>
      <c r="AC646" s="530"/>
      <c r="AD646" s="530"/>
      <c r="AE646" s="530"/>
      <c r="AF646" s="530"/>
      <c r="AG646" s="530"/>
      <c r="AH646" s="530"/>
      <c r="AI646" s="530"/>
      <c r="AJ646" s="530"/>
    </row>
    <row r="647" spans="1:38" ht="24" customHeight="1">
      <c r="A647" s="320" t="s">
        <v>395</v>
      </c>
      <c r="B647" s="321"/>
      <c r="C647" s="321"/>
      <c r="D647" s="320" t="s">
        <v>1194</v>
      </c>
      <c r="E647" s="321"/>
      <c r="F647" s="321"/>
      <c r="G647" s="321"/>
      <c r="H647" s="321"/>
      <c r="I647" s="321"/>
      <c r="J647" s="321"/>
      <c r="K647" s="321"/>
      <c r="L647" s="266">
        <v>74575</v>
      </c>
      <c r="M647" s="266">
        <v>70975</v>
      </c>
      <c r="N647" s="189">
        <v>67175</v>
      </c>
      <c r="O647" s="189">
        <v>54065</v>
      </c>
      <c r="P647" s="188">
        <v>0</v>
      </c>
      <c r="Q647" s="188">
        <v>0</v>
      </c>
      <c r="R647" s="188">
        <v>0</v>
      </c>
      <c r="S647" s="188">
        <v>0</v>
      </c>
      <c r="T647" s="188">
        <v>0</v>
      </c>
      <c r="V647" s="530"/>
      <c r="W647" s="530"/>
      <c r="X647" s="530"/>
      <c r="Y647" s="530"/>
      <c r="Z647" s="530"/>
      <c r="AA647" s="530"/>
      <c r="AB647" s="530"/>
      <c r="AC647" s="530"/>
      <c r="AD647" s="530"/>
      <c r="AE647" s="530"/>
      <c r="AF647" s="530"/>
      <c r="AG647" s="530"/>
      <c r="AH647" s="530"/>
      <c r="AI647" s="530"/>
      <c r="AJ647" s="530"/>
    </row>
    <row r="648" spans="1:38" ht="24" customHeight="1">
      <c r="A648" s="324" t="s">
        <v>396</v>
      </c>
      <c r="B648" s="324"/>
      <c r="C648" s="324"/>
      <c r="D648" s="324"/>
      <c r="E648" s="324"/>
      <c r="F648" s="324"/>
      <c r="G648" s="324"/>
      <c r="H648" s="324"/>
      <c r="I648" s="324"/>
      <c r="J648" s="324"/>
      <c r="K648" s="324"/>
      <c r="L648" s="273"/>
      <c r="M648" s="273"/>
      <c r="N648" s="204"/>
      <c r="O648" s="204"/>
      <c r="P648" s="203"/>
      <c r="Q648" s="203"/>
      <c r="R648" s="203"/>
      <c r="S648" s="203"/>
      <c r="T648" s="203"/>
      <c r="V648" s="530"/>
      <c r="W648" s="530"/>
      <c r="X648" s="530"/>
      <c r="Y648" s="530"/>
      <c r="Z648" s="530"/>
      <c r="AA648" s="530"/>
      <c r="AB648" s="530"/>
      <c r="AE648" s="240"/>
      <c r="AF648" s="240"/>
      <c r="AG648" s="240"/>
      <c r="AH648" s="240"/>
      <c r="AI648" s="240"/>
    </row>
    <row r="649" spans="1:38" ht="24" customHeight="1">
      <c r="A649" s="320" t="s">
        <v>397</v>
      </c>
      <c r="B649" s="321"/>
      <c r="C649" s="321"/>
      <c r="D649" s="320" t="s">
        <v>1117</v>
      </c>
      <c r="E649" s="321"/>
      <c r="F649" s="321"/>
      <c r="G649" s="321"/>
      <c r="H649" s="321"/>
      <c r="I649" s="321"/>
      <c r="J649" s="321"/>
      <c r="K649" s="321"/>
      <c r="L649" s="264">
        <v>87754</v>
      </c>
      <c r="M649" s="264">
        <v>89961</v>
      </c>
      <c r="N649" s="189">
        <v>92224</v>
      </c>
      <c r="O649" s="189">
        <v>92224</v>
      </c>
      <c r="P649" s="188">
        <v>94544</v>
      </c>
      <c r="Q649" s="188">
        <v>96923</v>
      </c>
      <c r="R649" s="188">
        <v>99361</v>
      </c>
      <c r="S649" s="188">
        <v>101860</v>
      </c>
      <c r="T649" s="188">
        <v>104423</v>
      </c>
      <c r="V649" s="530"/>
      <c r="W649" s="530"/>
      <c r="X649" s="530"/>
      <c r="Y649" s="530"/>
      <c r="Z649" s="530"/>
      <c r="AA649" s="530"/>
      <c r="AB649" s="530"/>
      <c r="AC649" s="530"/>
      <c r="AD649" s="530"/>
      <c r="AE649" s="530"/>
      <c r="AF649" s="530"/>
      <c r="AG649" s="530"/>
      <c r="AH649" s="530"/>
      <c r="AI649" s="530"/>
      <c r="AJ649" s="530"/>
    </row>
    <row r="650" spans="1:38" ht="24" customHeight="1">
      <c r="A650" s="320" t="s">
        <v>398</v>
      </c>
      <c r="B650" s="321"/>
      <c r="C650" s="321"/>
      <c r="D650" s="320" t="s">
        <v>1194</v>
      </c>
      <c r="E650" s="321"/>
      <c r="F650" s="321"/>
      <c r="G650" s="321"/>
      <c r="H650" s="321"/>
      <c r="I650" s="321"/>
      <c r="J650" s="321"/>
      <c r="K650" s="321"/>
      <c r="L650" s="266">
        <v>37277</v>
      </c>
      <c r="M650" s="266">
        <v>35069</v>
      </c>
      <c r="N650" s="189">
        <v>32806</v>
      </c>
      <c r="O650" s="189">
        <v>32806</v>
      </c>
      <c r="P650" s="188">
        <v>30486</v>
      </c>
      <c r="Q650" s="188">
        <v>28108</v>
      </c>
      <c r="R650" s="188">
        <v>25669</v>
      </c>
      <c r="S650" s="188">
        <v>23170</v>
      </c>
      <c r="T650" s="188">
        <v>20607</v>
      </c>
      <c r="V650" s="530"/>
      <c r="W650" s="530"/>
      <c r="X650" s="530"/>
      <c r="Y650" s="530"/>
      <c r="Z650" s="530"/>
      <c r="AA650" s="530"/>
      <c r="AB650" s="530"/>
      <c r="AC650" s="530"/>
      <c r="AD650" s="530"/>
      <c r="AE650" s="530"/>
      <c r="AF650" s="530"/>
      <c r="AG650" s="530"/>
      <c r="AH650" s="530"/>
      <c r="AI650" s="530"/>
      <c r="AJ650" s="530"/>
    </row>
    <row r="651" spans="1:38" ht="24" customHeight="1">
      <c r="A651" s="324" t="s">
        <v>1452</v>
      </c>
      <c r="B651" s="324"/>
      <c r="C651" s="324"/>
      <c r="D651" s="324"/>
      <c r="E651" s="324"/>
      <c r="F651" s="324"/>
      <c r="G651" s="324"/>
      <c r="H651" s="324"/>
      <c r="I651" s="324"/>
      <c r="J651" s="324"/>
      <c r="K651" s="324"/>
      <c r="L651" s="273"/>
      <c r="M651" s="273"/>
      <c r="N651" s="204"/>
      <c r="O651" s="204"/>
      <c r="P651" s="203"/>
      <c r="Q651" s="203"/>
      <c r="R651" s="203"/>
      <c r="S651" s="203"/>
      <c r="T651" s="203"/>
      <c r="V651" s="529"/>
      <c r="W651" s="529"/>
      <c r="X651" s="529"/>
      <c r="Y651" s="529"/>
      <c r="Z651" s="529"/>
      <c r="AA651" s="529"/>
      <c r="AB651" s="529"/>
      <c r="AE651" s="696"/>
      <c r="AF651" s="696"/>
      <c r="AG651" s="696"/>
      <c r="AH651" s="696"/>
      <c r="AI651" s="696"/>
      <c r="AJ651" s="696"/>
      <c r="AK651" s="524"/>
      <c r="AL651" s="524"/>
    </row>
    <row r="652" spans="1:38" ht="24" customHeight="1">
      <c r="A652" s="320" t="s">
        <v>1366</v>
      </c>
      <c r="B652" s="523"/>
      <c r="C652" s="523"/>
      <c r="D652" s="320" t="s">
        <v>1117</v>
      </c>
      <c r="E652" s="523"/>
      <c r="F652" s="523"/>
      <c r="G652" s="523"/>
      <c r="H652" s="523"/>
      <c r="I652" s="523"/>
      <c r="J652" s="523"/>
      <c r="K652" s="523"/>
      <c r="L652" s="264">
        <v>0</v>
      </c>
      <c r="M652" s="264">
        <v>0</v>
      </c>
      <c r="N652" s="189">
        <v>0</v>
      </c>
      <c r="O652" s="189">
        <v>0</v>
      </c>
      <c r="P652" s="188">
        <v>120000</v>
      </c>
      <c r="Q652" s="188">
        <v>120000</v>
      </c>
      <c r="R652" s="188">
        <v>120000</v>
      </c>
      <c r="S652" s="188">
        <v>130000</v>
      </c>
      <c r="T652" s="188">
        <v>125000</v>
      </c>
      <c r="V652" s="530"/>
      <c r="W652" s="530"/>
      <c r="X652" s="530"/>
      <c r="Y652" s="530"/>
      <c r="Z652" s="530"/>
      <c r="AA652" s="530"/>
      <c r="AB652" s="530"/>
      <c r="AC652" s="530"/>
      <c r="AD652" s="530"/>
      <c r="AE652" s="530"/>
      <c r="AF652" s="530"/>
      <c r="AG652" s="530"/>
      <c r="AH652" s="530"/>
      <c r="AI652" s="530"/>
      <c r="AJ652" s="530"/>
    </row>
    <row r="653" spans="1:38" ht="24" customHeight="1">
      <c r="A653" s="320" t="s">
        <v>1367</v>
      </c>
      <c r="B653" s="523"/>
      <c r="C653" s="523"/>
      <c r="D653" s="320" t="s">
        <v>309</v>
      </c>
      <c r="E653" s="523"/>
      <c r="F653" s="523"/>
      <c r="G653" s="523"/>
      <c r="H653" s="523"/>
      <c r="I653" s="523"/>
      <c r="J653" s="523"/>
      <c r="K653" s="523"/>
      <c r="L653" s="282">
        <v>0</v>
      </c>
      <c r="M653" s="282">
        <v>0</v>
      </c>
      <c r="N653" s="214">
        <v>0</v>
      </c>
      <c r="O653" s="214">
        <v>13111</v>
      </c>
      <c r="P653" s="213">
        <f>16275+16275</f>
        <v>32550</v>
      </c>
      <c r="Q653" s="213">
        <f>15075+15075</f>
        <v>30150</v>
      </c>
      <c r="R653" s="213">
        <f>13875+13875</f>
        <v>27750</v>
      </c>
      <c r="S653" s="213">
        <f>12675+12675</f>
        <v>25350</v>
      </c>
      <c r="T653" s="213">
        <f>11375+11375</f>
        <v>22750</v>
      </c>
      <c r="V653" s="530"/>
      <c r="W653" s="530"/>
      <c r="X653" s="530"/>
      <c r="Y653" s="530"/>
      <c r="Z653" s="530"/>
      <c r="AA653" s="530"/>
      <c r="AB653" s="530"/>
      <c r="AC653" s="530"/>
      <c r="AD653" s="530"/>
      <c r="AE653" s="530"/>
      <c r="AF653" s="530"/>
      <c r="AG653" s="530"/>
      <c r="AH653" s="530"/>
      <c r="AI653" s="530"/>
      <c r="AJ653" s="530"/>
    </row>
    <row r="654" spans="1:38" ht="15" customHeight="1">
      <c r="A654" s="255"/>
      <c r="B654" s="255"/>
      <c r="C654" s="255"/>
      <c r="D654" s="255"/>
      <c r="E654" s="255"/>
      <c r="F654" s="255"/>
      <c r="G654" s="255"/>
      <c r="H654" s="255"/>
      <c r="I654" s="255"/>
      <c r="J654" s="255"/>
      <c r="K654" s="255"/>
      <c r="L654" s="271"/>
      <c r="M654" s="271"/>
      <c r="N654" s="204"/>
      <c r="O654" s="204"/>
      <c r="P654" s="203"/>
      <c r="Q654" s="203"/>
      <c r="R654" s="203"/>
      <c r="S654" s="203"/>
      <c r="T654" s="203"/>
      <c r="V654" s="240"/>
      <c r="W654" s="240"/>
      <c r="X654" s="240"/>
      <c r="Y654" s="240"/>
      <c r="Z654" s="240"/>
      <c r="AA654" s="240"/>
      <c r="AB654" s="240"/>
      <c r="AC654" s="240"/>
      <c r="AD654" s="240"/>
      <c r="AE654" s="240"/>
      <c r="AF654" s="240"/>
      <c r="AG654" s="240"/>
      <c r="AH654" s="240"/>
      <c r="AI654" s="240"/>
    </row>
    <row r="655" spans="1:38" s="255" customFormat="1" ht="24" customHeight="1">
      <c r="K655" s="324" t="s">
        <v>600</v>
      </c>
      <c r="L655" s="273">
        <f t="shared" ref="L655:T655" si="185">SUM(L579:L654)</f>
        <v>2878499</v>
      </c>
      <c r="M655" s="273">
        <f t="shared" si="185"/>
        <v>2763633</v>
      </c>
      <c r="N655" s="274">
        <f t="shared" si="185"/>
        <v>3093781</v>
      </c>
      <c r="O655" s="274">
        <f t="shared" si="185"/>
        <v>3107632</v>
      </c>
      <c r="P655" s="273">
        <f t="shared" si="185"/>
        <v>7949715</v>
      </c>
      <c r="Q655" s="273">
        <f t="shared" si="185"/>
        <v>3504329</v>
      </c>
      <c r="R655" s="273">
        <f t="shared" si="185"/>
        <v>3957356</v>
      </c>
      <c r="S655" s="273">
        <f t="shared" si="185"/>
        <v>4172311</v>
      </c>
      <c r="T655" s="273">
        <f t="shared" si="185"/>
        <v>4458616</v>
      </c>
      <c r="U655" s="542"/>
      <c r="V655" s="697"/>
      <c r="W655" s="697"/>
      <c r="X655" s="697"/>
      <c r="Y655" s="697"/>
      <c r="Z655" s="697"/>
      <c r="AA655" s="697"/>
      <c r="AB655" s="697"/>
      <c r="AC655" s="697"/>
      <c r="AD655" s="697"/>
      <c r="AE655" s="697"/>
      <c r="AF655" s="697"/>
      <c r="AG655" s="697"/>
      <c r="AH655" s="697"/>
      <c r="AI655" s="697"/>
      <c r="AJ655" s="697"/>
    </row>
    <row r="656" spans="1:38" s="255" customFormat="1" ht="15" customHeight="1">
      <c r="L656" s="271"/>
      <c r="M656" s="271"/>
      <c r="N656" s="272"/>
      <c r="O656" s="272"/>
      <c r="P656" s="271"/>
      <c r="Q656" s="271"/>
      <c r="R656" s="271"/>
      <c r="S656" s="271"/>
      <c r="T656" s="271"/>
      <c r="U656" s="542"/>
    </row>
    <row r="657" spans="1:27" s="255" customFormat="1" ht="24" customHeight="1">
      <c r="K657" s="324" t="s">
        <v>599</v>
      </c>
      <c r="L657" s="290">
        <f t="shared" ref="L657:T657" si="186">L576-L655</f>
        <v>225840</v>
      </c>
      <c r="M657" s="290">
        <f t="shared" si="186"/>
        <v>-175756</v>
      </c>
      <c r="N657" s="291">
        <f t="shared" si="186"/>
        <v>-254555</v>
      </c>
      <c r="O657" s="291">
        <f t="shared" si="186"/>
        <v>-516720</v>
      </c>
      <c r="P657" s="290">
        <f t="shared" si="186"/>
        <v>-276196</v>
      </c>
      <c r="Q657" s="290">
        <f t="shared" si="186"/>
        <v>281886</v>
      </c>
      <c r="R657" s="290">
        <f t="shared" si="186"/>
        <v>-171192</v>
      </c>
      <c r="S657" s="290">
        <f t="shared" si="186"/>
        <v>-381175</v>
      </c>
      <c r="T657" s="290">
        <f t="shared" si="186"/>
        <v>-537100</v>
      </c>
      <c r="U657" s="542"/>
    </row>
    <row r="658" spans="1:27" s="255" customFormat="1" ht="15" customHeight="1">
      <c r="L658" s="290"/>
      <c r="M658" s="290"/>
      <c r="N658" s="291"/>
      <c r="O658" s="291"/>
      <c r="P658" s="290"/>
      <c r="Q658" s="290"/>
      <c r="R658" s="290"/>
      <c r="S658" s="290"/>
      <c r="T658" s="290"/>
      <c r="U658" s="542"/>
    </row>
    <row r="659" spans="1:27" s="255" customFormat="1" ht="24" customHeight="1">
      <c r="J659" s="339" t="s">
        <v>610</v>
      </c>
      <c r="L659" s="290">
        <v>1526679</v>
      </c>
      <c r="M659" s="290">
        <v>1350923</v>
      </c>
      <c r="N659" s="291">
        <v>976762</v>
      </c>
      <c r="O659" s="291">
        <f>M659+O657</f>
        <v>834203</v>
      </c>
      <c r="P659" s="290">
        <f>O659+P657</f>
        <v>558007</v>
      </c>
      <c r="Q659" s="290">
        <f>P659+Q657</f>
        <v>839893</v>
      </c>
      <c r="R659" s="290">
        <f>Q659+R657</f>
        <v>668701</v>
      </c>
      <c r="S659" s="290">
        <f>R659+S657</f>
        <v>287526</v>
      </c>
      <c r="T659" s="290">
        <f>S659+T657</f>
        <v>-249574</v>
      </c>
      <c r="U659" s="542"/>
    </row>
    <row r="660" spans="1:27" s="333" customFormat="1" ht="24" customHeight="1">
      <c r="L660" s="292">
        <f t="shared" ref="L660" si="187">L659/L655</f>
        <v>0.5303732952486695</v>
      </c>
      <c r="M660" s="292">
        <f t="shared" ref="M660:T660" si="188">M659/M655</f>
        <v>0.4888214173155408</v>
      </c>
      <c r="N660" s="293">
        <f t="shared" ref="N660:O660" si="189">N659/N655</f>
        <v>0.31571788694804187</v>
      </c>
      <c r="O660" s="293">
        <f t="shared" si="189"/>
        <v>0.26843686768574915</v>
      </c>
      <c r="P660" s="292">
        <f>P659/P655</f>
        <v>7.0192076068135781E-2</v>
      </c>
      <c r="Q660" s="292">
        <f t="shared" si="188"/>
        <v>0.23967298732510561</v>
      </c>
      <c r="R660" s="292">
        <f t="shared" si="188"/>
        <v>0.16897671071291034</v>
      </c>
      <c r="S660" s="292">
        <f t="shared" ref="S660" si="190">S659/S655</f>
        <v>6.8912887845608825E-2</v>
      </c>
      <c r="T660" s="292">
        <f t="shared" si="188"/>
        <v>-5.597566599141976E-2</v>
      </c>
      <c r="U660" s="399"/>
    </row>
    <row r="661" spans="1:27" s="330" customFormat="1" ht="15" customHeight="1">
      <c r="A661" s="608"/>
      <c r="B661" s="608"/>
      <c r="C661" s="608"/>
      <c r="D661" s="608"/>
      <c r="E661" s="608"/>
      <c r="F661" s="608"/>
      <c r="G661" s="608"/>
      <c r="H661" s="608"/>
      <c r="I661" s="608"/>
      <c r="J661" s="608"/>
      <c r="K661" s="329"/>
      <c r="L661" s="469"/>
      <c r="M661" s="469"/>
      <c r="N661" s="474"/>
      <c r="O661" s="474"/>
      <c r="P661" s="475"/>
      <c r="Q661" s="475"/>
      <c r="R661" s="475"/>
      <c r="S661" s="475"/>
      <c r="T661" s="475"/>
      <c r="U661" s="251"/>
      <c r="V661" s="253"/>
      <c r="W661" s="253"/>
      <c r="X661" s="253"/>
      <c r="Y661" s="253"/>
      <c r="Z661" s="253"/>
      <c r="AA661" s="253"/>
    </row>
    <row r="662" spans="1:27" ht="15" customHeight="1">
      <c r="A662" s="255"/>
      <c r="B662" s="255"/>
      <c r="C662" s="255"/>
      <c r="D662" s="255"/>
      <c r="E662" s="255"/>
      <c r="F662" s="255"/>
      <c r="G662" s="255"/>
      <c r="H662" s="255"/>
      <c r="I662" s="255"/>
      <c r="J662" s="255"/>
      <c r="K662" s="255"/>
      <c r="L662" s="468"/>
      <c r="M662" s="468"/>
      <c r="N662" s="472"/>
      <c r="O662" s="472"/>
      <c r="P662" s="473"/>
      <c r="Q662" s="473"/>
      <c r="R662" s="473"/>
      <c r="S662" s="473"/>
      <c r="T662" s="473"/>
    </row>
    <row r="663" spans="1:27" ht="24" customHeight="1">
      <c r="A663" s="331" t="s">
        <v>621</v>
      </c>
      <c r="B663" s="255"/>
      <c r="C663" s="255"/>
      <c r="D663" s="255"/>
      <c r="E663" s="255"/>
      <c r="F663" s="255"/>
      <c r="G663" s="255"/>
      <c r="H663" s="255"/>
      <c r="I663" s="255"/>
      <c r="J663" s="255"/>
      <c r="K663" s="255"/>
      <c r="L663" s="318"/>
      <c r="M663" s="318"/>
      <c r="N663" s="466"/>
      <c r="O663" s="466"/>
      <c r="P663" s="467"/>
      <c r="Q663" s="467"/>
      <c r="R663" s="467"/>
      <c r="S663" s="467"/>
      <c r="T663" s="467"/>
    </row>
    <row r="664" spans="1:27" ht="15" customHeight="1">
      <c r="A664" s="255"/>
      <c r="B664" s="255"/>
      <c r="C664" s="255"/>
      <c r="D664" s="255"/>
      <c r="E664" s="255"/>
      <c r="F664" s="255"/>
      <c r="G664" s="255"/>
      <c r="H664" s="255"/>
      <c r="I664" s="255"/>
      <c r="J664" s="255"/>
      <c r="K664" s="255"/>
      <c r="L664" s="318"/>
      <c r="M664" s="318"/>
      <c r="N664" s="466"/>
      <c r="O664" s="466"/>
      <c r="P664" s="467"/>
      <c r="Q664" s="467"/>
      <c r="R664" s="467"/>
      <c r="S664" s="467"/>
      <c r="T664" s="467"/>
    </row>
    <row r="665" spans="1:27" ht="24" customHeight="1">
      <c r="A665" s="320" t="s">
        <v>1345</v>
      </c>
      <c r="B665" s="321"/>
      <c r="C665" s="321"/>
      <c r="D665" s="255" t="s">
        <v>400</v>
      </c>
      <c r="E665" s="321"/>
      <c r="F665" s="321"/>
      <c r="G665" s="321"/>
      <c r="H665" s="321"/>
      <c r="I665" s="321"/>
      <c r="J665" s="321"/>
      <c r="K665" s="321"/>
      <c r="L665" s="265">
        <v>262543</v>
      </c>
      <c r="M665" s="265">
        <v>110601</v>
      </c>
      <c r="N665" s="210">
        <v>0</v>
      </c>
      <c r="O665" s="210">
        <v>0</v>
      </c>
      <c r="P665" s="209">
        <v>0</v>
      </c>
      <c r="Q665" s="209">
        <v>0</v>
      </c>
      <c r="R665" s="209">
        <v>0</v>
      </c>
      <c r="S665" s="209">
        <v>0</v>
      </c>
      <c r="T665" s="209">
        <v>0</v>
      </c>
      <c r="V665" s="487"/>
      <c r="W665" s="488"/>
    </row>
    <row r="666" spans="1:27" ht="24" customHeight="1">
      <c r="A666" s="320" t="s">
        <v>961</v>
      </c>
      <c r="B666" s="321"/>
      <c r="C666" s="321"/>
      <c r="D666" s="320" t="s">
        <v>987</v>
      </c>
      <c r="E666" s="423"/>
      <c r="F666" s="423"/>
      <c r="G666" s="423"/>
      <c r="H666" s="423"/>
      <c r="I666" s="423"/>
      <c r="J666" s="423"/>
      <c r="K666" s="423"/>
      <c r="L666" s="265">
        <v>24000</v>
      </c>
      <c r="M666" s="265">
        <v>16800</v>
      </c>
      <c r="N666" s="210">
        <v>0</v>
      </c>
      <c r="O666" s="210">
        <v>0</v>
      </c>
      <c r="P666" s="209">
        <v>0</v>
      </c>
      <c r="Q666" s="209">
        <v>0</v>
      </c>
      <c r="R666" s="209">
        <v>0</v>
      </c>
      <c r="S666" s="209">
        <v>0</v>
      </c>
      <c r="T666" s="209">
        <v>0</v>
      </c>
      <c r="V666" s="187"/>
    </row>
    <row r="667" spans="1:27" ht="24" customHeight="1">
      <c r="A667" s="320" t="s">
        <v>401</v>
      </c>
      <c r="B667" s="255"/>
      <c r="C667" s="255"/>
      <c r="D667" s="320" t="s">
        <v>402</v>
      </c>
      <c r="E667" s="454"/>
      <c r="F667" s="454"/>
      <c r="G667" s="453"/>
      <c r="H667" s="453"/>
      <c r="I667" s="453"/>
      <c r="J667" s="453"/>
      <c r="K667" s="453"/>
      <c r="L667" s="265">
        <v>744820</v>
      </c>
      <c r="M667" s="265">
        <v>756746</v>
      </c>
      <c r="N667" s="195">
        <v>772500</v>
      </c>
      <c r="O667" s="195">
        <f>ROUND(((7000*6)*18.54),0)</f>
        <v>778680</v>
      </c>
      <c r="P667" s="192">
        <f>ROUND(((7000*6)*19.1),0)</f>
        <v>802200</v>
      </c>
      <c r="Q667" s="192">
        <f>ROUND(((7000*6)*19.67),0)</f>
        <v>826140</v>
      </c>
      <c r="R667" s="192">
        <f>ROUND(((7000*6)*20.26),0)</f>
        <v>850920</v>
      </c>
      <c r="S667" s="192">
        <f>ROUND(((7000*6)*20.87),0)</f>
        <v>876540</v>
      </c>
      <c r="T667" s="192">
        <f>ROUND(S667*1.03,0)</f>
        <v>902836</v>
      </c>
      <c r="V667" s="487"/>
      <c r="W667" s="488"/>
      <c r="X667" s="488"/>
    </row>
    <row r="668" spans="1:27" ht="24" customHeight="1">
      <c r="A668" s="320" t="s">
        <v>1125</v>
      </c>
      <c r="B668" s="321"/>
      <c r="C668" s="321"/>
      <c r="D668" s="320" t="s">
        <v>1127</v>
      </c>
      <c r="E668" s="464"/>
      <c r="F668" s="464"/>
      <c r="G668" s="464"/>
      <c r="H668" s="464"/>
      <c r="I668" s="464"/>
      <c r="J668" s="464"/>
      <c r="K668" s="464"/>
      <c r="L668" s="265">
        <v>0</v>
      </c>
      <c r="M668" s="265">
        <v>333587</v>
      </c>
      <c r="N668" s="195">
        <v>330000</v>
      </c>
      <c r="O668" s="195">
        <v>340000</v>
      </c>
      <c r="P668" s="262">
        <v>340000</v>
      </c>
      <c r="Q668" s="262">
        <v>340000</v>
      </c>
      <c r="R668" s="262">
        <v>340000</v>
      </c>
      <c r="S668" s="262">
        <v>340000</v>
      </c>
      <c r="T668" s="262">
        <v>340000</v>
      </c>
      <c r="V668" s="187"/>
    </row>
    <row r="669" spans="1:27" ht="24" customHeight="1">
      <c r="A669" s="320" t="s">
        <v>403</v>
      </c>
      <c r="B669" s="321"/>
      <c r="C669" s="321"/>
      <c r="D669" s="320" t="s">
        <v>404</v>
      </c>
      <c r="E669" s="464"/>
      <c r="F669" s="464"/>
      <c r="G669" s="464"/>
      <c r="H669" s="464"/>
      <c r="I669" s="464"/>
      <c r="J669" s="464"/>
      <c r="K669" s="464"/>
      <c r="L669" s="265">
        <v>200</v>
      </c>
      <c r="M669" s="265">
        <v>800</v>
      </c>
      <c r="N669" s="195">
        <v>5000</v>
      </c>
      <c r="O669" s="195">
        <v>1000</v>
      </c>
      <c r="P669" s="192">
        <v>5000</v>
      </c>
      <c r="Q669" s="192">
        <v>5000</v>
      </c>
      <c r="R669" s="192">
        <v>5000</v>
      </c>
      <c r="S669" s="192">
        <v>5000</v>
      </c>
      <c r="T669" s="192">
        <v>5000</v>
      </c>
      <c r="V669" s="190"/>
    </row>
    <row r="670" spans="1:27" ht="24" customHeight="1">
      <c r="A670" s="320" t="s">
        <v>405</v>
      </c>
      <c r="B670" s="321"/>
      <c r="C670" s="321"/>
      <c r="D670" s="320" t="s">
        <v>406</v>
      </c>
      <c r="E670" s="423"/>
      <c r="F670" s="423"/>
      <c r="G670" s="423"/>
      <c r="H670" s="423"/>
      <c r="I670" s="423"/>
      <c r="J670" s="423"/>
      <c r="K670" s="423"/>
      <c r="L670" s="262">
        <v>3400</v>
      </c>
      <c r="M670" s="262">
        <v>9200</v>
      </c>
      <c r="N670" s="195">
        <v>20000</v>
      </c>
      <c r="O670" s="195">
        <v>10000</v>
      </c>
      <c r="P670" s="192">
        <v>20000</v>
      </c>
      <c r="Q670" s="192">
        <v>20000</v>
      </c>
      <c r="R670" s="192">
        <v>20000</v>
      </c>
      <c r="S670" s="192">
        <v>20000</v>
      </c>
      <c r="T670" s="192">
        <v>20000</v>
      </c>
      <c r="V670" s="190"/>
    </row>
    <row r="671" spans="1:27" ht="24" customHeight="1">
      <c r="A671" s="320" t="s">
        <v>407</v>
      </c>
      <c r="B671" s="321"/>
      <c r="C671" s="321"/>
      <c r="D671" s="320" t="s">
        <v>408</v>
      </c>
      <c r="E671" s="321"/>
      <c r="F671" s="321"/>
      <c r="G671" s="321"/>
      <c r="H671" s="321"/>
      <c r="I671" s="321"/>
      <c r="J671" s="321"/>
      <c r="K671" s="321"/>
      <c r="L671" s="265">
        <v>586000</v>
      </c>
      <c r="M671" s="265">
        <v>0</v>
      </c>
      <c r="N671" s="195">
        <v>0</v>
      </c>
      <c r="O671" s="195">
        <v>0</v>
      </c>
      <c r="P671" s="192">
        <v>0</v>
      </c>
      <c r="Q671" s="192">
        <v>0</v>
      </c>
      <c r="R671" s="192">
        <v>0</v>
      </c>
      <c r="S671" s="192">
        <v>0</v>
      </c>
      <c r="T671" s="192">
        <v>0</v>
      </c>
      <c r="V671" s="190"/>
    </row>
    <row r="672" spans="1:27" ht="24" customHeight="1">
      <c r="A672" s="320" t="s">
        <v>1126</v>
      </c>
      <c r="B672" s="321"/>
      <c r="C672" s="321"/>
      <c r="D672" s="320" t="s">
        <v>1068</v>
      </c>
      <c r="E672" s="321"/>
      <c r="F672" s="321"/>
      <c r="G672" s="321"/>
      <c r="H672" s="321"/>
      <c r="I672" s="321"/>
      <c r="J672" s="321"/>
      <c r="K672" s="321"/>
      <c r="L672" s="265">
        <v>13271</v>
      </c>
      <c r="M672" s="265">
        <v>13821</v>
      </c>
      <c r="N672" s="210">
        <v>13000</v>
      </c>
      <c r="O672" s="210">
        <v>13000</v>
      </c>
      <c r="P672" s="209">
        <v>13000</v>
      </c>
      <c r="Q672" s="209">
        <v>13000</v>
      </c>
      <c r="R672" s="209">
        <v>13000</v>
      </c>
      <c r="S672" s="209">
        <v>13000</v>
      </c>
      <c r="T672" s="209">
        <v>13000</v>
      </c>
    </row>
    <row r="673" spans="1:27" ht="24" customHeight="1">
      <c r="A673" s="320" t="s">
        <v>409</v>
      </c>
      <c r="B673" s="321"/>
      <c r="C673" s="321"/>
      <c r="D673" s="320" t="s">
        <v>410</v>
      </c>
      <c r="E673" s="321"/>
      <c r="F673" s="321"/>
      <c r="G673" s="321"/>
      <c r="H673" s="321"/>
      <c r="I673" s="321"/>
      <c r="J673" s="321"/>
      <c r="K673" s="321"/>
      <c r="L673" s="265">
        <v>514</v>
      </c>
      <c r="M673" s="265">
        <v>278</v>
      </c>
      <c r="N673" s="195">
        <v>0</v>
      </c>
      <c r="O673" s="195">
        <v>324</v>
      </c>
      <c r="P673" s="192">
        <v>0</v>
      </c>
      <c r="Q673" s="192">
        <v>0</v>
      </c>
      <c r="R673" s="192">
        <v>0</v>
      </c>
      <c r="S673" s="192">
        <v>0</v>
      </c>
      <c r="T673" s="192">
        <v>0</v>
      </c>
    </row>
    <row r="674" spans="1:27" ht="24" customHeight="1">
      <c r="A674" s="320" t="s">
        <v>411</v>
      </c>
      <c r="B674" s="321"/>
      <c r="C674" s="321"/>
      <c r="D674" s="746" t="s">
        <v>6</v>
      </c>
      <c r="E674" s="746"/>
      <c r="F674" s="746"/>
      <c r="G674" s="746"/>
      <c r="H674" s="746"/>
      <c r="I674" s="746"/>
      <c r="J674" s="746"/>
      <c r="K674" s="746"/>
      <c r="L674" s="264">
        <v>7339</v>
      </c>
      <c r="M674" s="264">
        <v>9260</v>
      </c>
      <c r="N674" s="189">
        <v>6000</v>
      </c>
      <c r="O674" s="189">
        <v>5500</v>
      </c>
      <c r="P674" s="188">
        <v>1500</v>
      </c>
      <c r="Q674" s="188">
        <v>1500</v>
      </c>
      <c r="R674" s="188">
        <v>1500</v>
      </c>
      <c r="S674" s="188">
        <v>1500</v>
      </c>
      <c r="T674" s="188">
        <v>1500</v>
      </c>
    </row>
    <row r="675" spans="1:27" ht="24" customHeight="1">
      <c r="A675" s="320" t="s">
        <v>1410</v>
      </c>
      <c r="B675" s="635"/>
      <c r="C675" s="635"/>
      <c r="D675" s="320" t="s">
        <v>1411</v>
      </c>
      <c r="E675" s="635"/>
      <c r="F675" s="635"/>
      <c r="G675" s="635"/>
      <c r="H675" s="635"/>
      <c r="I675" s="635"/>
      <c r="J675" s="635"/>
      <c r="K675" s="635"/>
      <c r="L675" s="264">
        <v>0</v>
      </c>
      <c r="M675" s="264">
        <v>0</v>
      </c>
      <c r="N675" s="189">
        <v>0</v>
      </c>
      <c r="O675" s="189">
        <v>0</v>
      </c>
      <c r="P675" s="188">
        <f>P718</f>
        <v>200000</v>
      </c>
      <c r="Q675" s="188">
        <f t="shared" ref="Q675:T675" si="191">Q718</f>
        <v>200000</v>
      </c>
      <c r="R675" s="188">
        <f t="shared" si="191"/>
        <v>200000</v>
      </c>
      <c r="S675" s="188">
        <f t="shared" si="191"/>
        <v>200000</v>
      </c>
      <c r="T675" s="188">
        <f t="shared" si="191"/>
        <v>200000</v>
      </c>
      <c r="V675" s="187"/>
    </row>
    <row r="676" spans="1:27" ht="24" customHeight="1">
      <c r="A676" s="320" t="s">
        <v>666</v>
      </c>
      <c r="B676" s="321"/>
      <c r="C676" s="321"/>
      <c r="D676" s="320" t="s">
        <v>265</v>
      </c>
      <c r="E676" s="321"/>
      <c r="F676" s="321"/>
      <c r="G676" s="321"/>
      <c r="H676" s="321"/>
      <c r="I676" s="321"/>
      <c r="J676" s="321"/>
      <c r="K676" s="321"/>
      <c r="L676" s="264">
        <v>4240</v>
      </c>
      <c r="M676" s="264">
        <v>0</v>
      </c>
      <c r="N676" s="189">
        <v>0</v>
      </c>
      <c r="O676" s="189">
        <v>0</v>
      </c>
      <c r="P676" s="188">
        <v>0</v>
      </c>
      <c r="Q676" s="188">
        <v>0</v>
      </c>
      <c r="R676" s="188">
        <v>0</v>
      </c>
      <c r="S676" s="188">
        <v>0</v>
      </c>
      <c r="T676" s="188">
        <v>0</v>
      </c>
      <c r="V676" s="187"/>
    </row>
    <row r="677" spans="1:27" ht="24" customHeight="1">
      <c r="A677" s="320" t="s">
        <v>412</v>
      </c>
      <c r="B677" s="321"/>
      <c r="C677" s="321"/>
      <c r="D677" s="746" t="s">
        <v>64</v>
      </c>
      <c r="E677" s="746"/>
      <c r="F677" s="746"/>
      <c r="G677" s="746"/>
      <c r="H677" s="746"/>
      <c r="I677" s="746"/>
      <c r="J677" s="746"/>
      <c r="K677" s="746"/>
      <c r="L677" s="264">
        <v>3668</v>
      </c>
      <c r="M677" s="264">
        <v>1300</v>
      </c>
      <c r="N677" s="189">
        <v>0</v>
      </c>
      <c r="O677" s="189">
        <v>1100</v>
      </c>
      <c r="P677" s="188">
        <v>0</v>
      </c>
      <c r="Q677" s="188">
        <v>0</v>
      </c>
      <c r="R677" s="188">
        <v>0</v>
      </c>
      <c r="S677" s="188">
        <v>0</v>
      </c>
      <c r="T677" s="188">
        <v>0</v>
      </c>
    </row>
    <row r="678" spans="1:27" ht="24" customHeight="1">
      <c r="A678" s="320" t="s">
        <v>413</v>
      </c>
      <c r="B678" s="321"/>
      <c r="C678" s="321"/>
      <c r="D678" s="320" t="s">
        <v>285</v>
      </c>
      <c r="E678" s="321"/>
      <c r="F678" s="321"/>
      <c r="G678" s="321"/>
      <c r="H678" s="321"/>
      <c r="I678" s="321"/>
      <c r="J678" s="321"/>
      <c r="K678" s="321"/>
      <c r="L678" s="264">
        <v>0</v>
      </c>
      <c r="M678" s="264">
        <v>1137220</v>
      </c>
      <c r="N678" s="189">
        <v>1133972</v>
      </c>
      <c r="O678" s="189">
        <v>1133972</v>
      </c>
      <c r="P678" s="188">
        <f>P732+P733</f>
        <v>1134654</v>
      </c>
      <c r="Q678" s="188">
        <f t="shared" ref="Q678:S678" si="192">Q732+Q733</f>
        <v>1134052</v>
      </c>
      <c r="R678" s="188">
        <f t="shared" si="192"/>
        <v>1137166</v>
      </c>
      <c r="S678" s="188">
        <f t="shared" si="192"/>
        <v>1133782</v>
      </c>
      <c r="T678" s="188">
        <f t="shared" ref="T678" si="193">T732+T733</f>
        <v>1134114</v>
      </c>
      <c r="V678" s="187"/>
      <c r="Z678" s="198"/>
    </row>
    <row r="679" spans="1:27" ht="24" customHeight="1">
      <c r="A679" s="320" t="s">
        <v>1210</v>
      </c>
      <c r="B679" s="429"/>
      <c r="C679" s="429"/>
      <c r="D679" s="320" t="s">
        <v>1193</v>
      </c>
      <c r="E679" s="429"/>
      <c r="F679" s="429"/>
      <c r="G679" s="429"/>
      <c r="H679" s="429"/>
      <c r="I679" s="429"/>
      <c r="J679" s="429"/>
      <c r="K679" s="429"/>
      <c r="L679" s="279">
        <v>0</v>
      </c>
      <c r="M679" s="279">
        <v>0</v>
      </c>
      <c r="N679" s="214">
        <v>105000</v>
      </c>
      <c r="O679" s="214">
        <v>110000</v>
      </c>
      <c r="P679" s="213">
        <v>0</v>
      </c>
      <c r="Q679" s="213">
        <v>0</v>
      </c>
      <c r="R679" s="213">
        <v>0</v>
      </c>
      <c r="S679" s="213">
        <v>0</v>
      </c>
      <c r="T679" s="213">
        <v>0</v>
      </c>
      <c r="V679" s="187"/>
      <c r="Z679" s="198"/>
    </row>
    <row r="680" spans="1:27" ht="15" customHeight="1">
      <c r="A680" s="320"/>
      <c r="B680" s="321"/>
      <c r="C680" s="321"/>
      <c r="D680" s="255"/>
      <c r="E680" s="321"/>
      <c r="F680" s="321"/>
      <c r="G680" s="321"/>
      <c r="H680" s="321"/>
      <c r="I680" s="321"/>
      <c r="J680" s="321"/>
      <c r="K680" s="321"/>
      <c r="L680" s="270"/>
      <c r="M680" s="270"/>
      <c r="N680" s="202"/>
      <c r="O680" s="202"/>
      <c r="P680" s="201"/>
      <c r="Q680" s="201"/>
      <c r="R680" s="201"/>
      <c r="S680" s="201"/>
      <c r="T680" s="201"/>
    </row>
    <row r="681" spans="1:27" s="255" customFormat="1" ht="24" customHeight="1">
      <c r="K681" s="324" t="s">
        <v>595</v>
      </c>
      <c r="L681" s="273">
        <f t="shared" ref="L681" si="194">SUM(L665:L680)</f>
        <v>1649995</v>
      </c>
      <c r="M681" s="273">
        <f t="shared" ref="M681:T681" si="195">SUM(M665:M680)</f>
        <v>2389613</v>
      </c>
      <c r="N681" s="274">
        <f t="shared" si="195"/>
        <v>2385472</v>
      </c>
      <c r="O681" s="274">
        <f t="shared" ref="O681" si="196">SUM(O665:O680)</f>
        <v>2393576</v>
      </c>
      <c r="P681" s="273">
        <f t="shared" ref="P681:S681" si="197">SUM(P665:P680)</f>
        <v>2516354</v>
      </c>
      <c r="Q681" s="273">
        <f t="shared" si="197"/>
        <v>2539692</v>
      </c>
      <c r="R681" s="273">
        <f t="shared" si="197"/>
        <v>2567586</v>
      </c>
      <c r="S681" s="273">
        <f t="shared" si="197"/>
        <v>2589822</v>
      </c>
      <c r="T681" s="273">
        <f t="shared" si="195"/>
        <v>2616450</v>
      </c>
      <c r="U681" s="542"/>
    </row>
    <row r="682" spans="1:27" ht="15" customHeight="1">
      <c r="A682" s="255"/>
      <c r="B682" s="255"/>
      <c r="C682" s="255"/>
      <c r="D682" s="255"/>
      <c r="E682" s="255"/>
      <c r="F682" s="255"/>
      <c r="G682" s="255"/>
      <c r="H682" s="255"/>
      <c r="I682" s="255"/>
      <c r="J682" s="255"/>
      <c r="K682" s="255"/>
      <c r="L682" s="273"/>
      <c r="M682" s="273"/>
      <c r="N682" s="207"/>
      <c r="O682" s="207"/>
      <c r="P682" s="206"/>
      <c r="Q682" s="206"/>
      <c r="R682" s="206"/>
      <c r="S682" s="206"/>
      <c r="T682" s="206"/>
    </row>
    <row r="683" spans="1:27" ht="24" customHeight="1">
      <c r="A683" s="324" t="s">
        <v>1180</v>
      </c>
      <c r="B683" s="255"/>
      <c r="C683" s="255"/>
      <c r="D683" s="255"/>
      <c r="E683" s="255"/>
      <c r="F683" s="255"/>
      <c r="G683" s="255"/>
      <c r="H683" s="255"/>
      <c r="I683" s="255"/>
      <c r="J683" s="255"/>
      <c r="K683" s="255"/>
      <c r="L683" s="273"/>
      <c r="M683" s="273"/>
      <c r="N683" s="207"/>
      <c r="O683" s="207"/>
      <c r="P683" s="206"/>
      <c r="Q683" s="206"/>
      <c r="R683" s="206"/>
      <c r="S683" s="206"/>
      <c r="T683" s="206"/>
    </row>
    <row r="684" spans="1:27" ht="24" customHeight="1">
      <c r="A684" s="320" t="s">
        <v>414</v>
      </c>
      <c r="B684" s="321"/>
      <c r="C684" s="321"/>
      <c r="D684" s="320" t="s">
        <v>1003</v>
      </c>
      <c r="E684" s="321"/>
      <c r="F684" s="321"/>
      <c r="G684" s="321"/>
      <c r="H684" s="321"/>
      <c r="I684" s="321"/>
      <c r="J684" s="321"/>
      <c r="K684" s="321"/>
      <c r="L684" s="264">
        <v>189733</v>
      </c>
      <c r="M684" s="264">
        <v>164160</v>
      </c>
      <c r="N684" s="189">
        <v>193304</v>
      </c>
      <c r="O684" s="189">
        <v>193304</v>
      </c>
      <c r="P684" s="196">
        <v>203003</v>
      </c>
      <c r="Q684" s="196">
        <v>210108</v>
      </c>
      <c r="R684" s="196">
        <v>217462</v>
      </c>
      <c r="S684" s="196">
        <v>225073</v>
      </c>
      <c r="T684" s="196">
        <v>232951</v>
      </c>
      <c r="V684" s="487"/>
      <c r="W684" s="488"/>
      <c r="X684" s="488"/>
      <c r="Y684" s="488"/>
      <c r="Z684" s="187"/>
    </row>
    <row r="685" spans="1:27" ht="24" customHeight="1">
      <c r="A685" s="320" t="s">
        <v>415</v>
      </c>
      <c r="B685" s="321"/>
      <c r="C685" s="321"/>
      <c r="D685" s="320" t="s">
        <v>14</v>
      </c>
      <c r="E685" s="321"/>
      <c r="F685" s="321"/>
      <c r="G685" s="321"/>
      <c r="H685" s="321"/>
      <c r="I685" s="321"/>
      <c r="J685" s="321"/>
      <c r="K685" s="321"/>
      <c r="L685" s="264">
        <v>719</v>
      </c>
      <c r="M685" s="264">
        <v>113</v>
      </c>
      <c r="N685" s="189">
        <v>2000</v>
      </c>
      <c r="O685" s="189">
        <v>2000</v>
      </c>
      <c r="P685" s="188">
        <v>2000</v>
      </c>
      <c r="Q685" s="188">
        <v>2000</v>
      </c>
      <c r="R685" s="188">
        <v>2000</v>
      </c>
      <c r="S685" s="188">
        <v>2000</v>
      </c>
      <c r="T685" s="188">
        <v>2000</v>
      </c>
      <c r="V685" s="487"/>
      <c r="W685" s="488"/>
      <c r="X685" s="488"/>
      <c r="Y685" s="488"/>
    </row>
    <row r="686" spans="1:27" ht="24" customHeight="1">
      <c r="A686" s="320" t="s">
        <v>416</v>
      </c>
      <c r="B686" s="321"/>
      <c r="C686" s="321"/>
      <c r="D686" s="320" t="s">
        <v>8</v>
      </c>
      <c r="E686" s="321"/>
      <c r="F686" s="321"/>
      <c r="G686" s="321"/>
      <c r="H686" s="321"/>
      <c r="I686" s="321"/>
      <c r="J686" s="321"/>
      <c r="K686" s="321"/>
      <c r="L686" s="264">
        <v>20244</v>
      </c>
      <c r="M686" s="264">
        <v>18268</v>
      </c>
      <c r="N686" s="189">
        <v>23291</v>
      </c>
      <c r="O686" s="189">
        <v>23291</v>
      </c>
      <c r="P686" s="188">
        <v>22807</v>
      </c>
      <c r="Q686" s="188">
        <v>25759</v>
      </c>
      <c r="R686" s="188">
        <v>28248</v>
      </c>
      <c r="S686" s="188">
        <v>30993</v>
      </c>
      <c r="T686" s="188">
        <v>34011</v>
      </c>
      <c r="V686" s="487"/>
      <c r="W686" s="488"/>
      <c r="X686" s="488"/>
      <c r="Y686" s="488"/>
    </row>
    <row r="687" spans="1:27" ht="24" customHeight="1">
      <c r="A687" s="320" t="s">
        <v>417</v>
      </c>
      <c r="B687" s="255"/>
      <c r="C687" s="255"/>
      <c r="D687" s="320" t="s">
        <v>9</v>
      </c>
      <c r="E687" s="255"/>
      <c r="F687" s="255"/>
      <c r="G687" s="255"/>
      <c r="H687" s="255"/>
      <c r="I687" s="255"/>
      <c r="J687" s="255"/>
      <c r="K687" s="255"/>
      <c r="L687" s="264">
        <v>14245</v>
      </c>
      <c r="M687" s="264">
        <v>12371</v>
      </c>
      <c r="N687" s="189">
        <v>14661</v>
      </c>
      <c r="O687" s="189">
        <v>14661</v>
      </c>
      <c r="P687" s="196">
        <v>15177</v>
      </c>
      <c r="Q687" s="196">
        <v>15708</v>
      </c>
      <c r="R687" s="196">
        <v>16258</v>
      </c>
      <c r="S687" s="196">
        <v>16827</v>
      </c>
      <c r="T687" s="196">
        <v>17416</v>
      </c>
      <c r="V687" s="487"/>
      <c r="W687" s="488"/>
      <c r="X687" s="488"/>
      <c r="Y687" s="488"/>
    </row>
    <row r="688" spans="1:27" ht="24" customHeight="1">
      <c r="A688" s="320" t="s">
        <v>644</v>
      </c>
      <c r="B688" s="255"/>
      <c r="C688" s="255"/>
      <c r="D688" s="320" t="s">
        <v>13</v>
      </c>
      <c r="E688" s="255"/>
      <c r="F688" s="255"/>
      <c r="G688" s="255"/>
      <c r="H688" s="255"/>
      <c r="I688" s="255"/>
      <c r="J688" s="255"/>
      <c r="K688" s="255"/>
      <c r="L688" s="264">
        <v>42818</v>
      </c>
      <c r="M688" s="264">
        <v>32305</v>
      </c>
      <c r="N688" s="189">
        <v>44546</v>
      </c>
      <c r="O688" s="189">
        <v>44546</v>
      </c>
      <c r="P688" s="193">
        <v>70903</v>
      </c>
      <c r="Q688" s="193">
        <v>76575</v>
      </c>
      <c r="R688" s="193">
        <v>82701</v>
      </c>
      <c r="S688" s="193">
        <v>89317</v>
      </c>
      <c r="T688" s="193">
        <v>96462</v>
      </c>
      <c r="V688" s="487"/>
      <c r="W688" s="488"/>
      <c r="X688" s="487"/>
      <c r="Y688" s="488"/>
      <c r="AA688" s="187"/>
    </row>
    <row r="689" spans="1:27" ht="24" customHeight="1">
      <c r="A689" s="320" t="s">
        <v>645</v>
      </c>
      <c r="B689" s="255"/>
      <c r="C689" s="255"/>
      <c r="D689" s="320" t="s">
        <v>187</v>
      </c>
      <c r="E689" s="255"/>
      <c r="F689" s="255"/>
      <c r="G689" s="255"/>
      <c r="H689" s="255"/>
      <c r="I689" s="255"/>
      <c r="J689" s="255"/>
      <c r="K689" s="255"/>
      <c r="L689" s="264">
        <v>377</v>
      </c>
      <c r="M689" s="264">
        <v>265</v>
      </c>
      <c r="N689" s="189">
        <v>346</v>
      </c>
      <c r="O689" s="189">
        <v>346</v>
      </c>
      <c r="P689" s="193">
        <v>373</v>
      </c>
      <c r="Q689" s="193">
        <v>377</v>
      </c>
      <c r="R689" s="193">
        <v>381</v>
      </c>
      <c r="S689" s="193">
        <v>385</v>
      </c>
      <c r="T689" s="193">
        <v>389</v>
      </c>
      <c r="V689" s="487"/>
      <c r="W689" s="488"/>
      <c r="X689" s="487"/>
      <c r="Y689" s="488"/>
      <c r="AA689" s="187"/>
    </row>
    <row r="690" spans="1:27" ht="24" customHeight="1">
      <c r="A690" s="320" t="s">
        <v>646</v>
      </c>
      <c r="B690" s="255"/>
      <c r="C690" s="255"/>
      <c r="D690" s="320" t="s">
        <v>652</v>
      </c>
      <c r="E690" s="255"/>
      <c r="F690" s="255"/>
      <c r="G690" s="255"/>
      <c r="H690" s="255"/>
      <c r="I690" s="255"/>
      <c r="J690" s="255"/>
      <c r="K690" s="255"/>
      <c r="L690" s="264">
        <v>3521</v>
      </c>
      <c r="M690" s="264">
        <v>2006</v>
      </c>
      <c r="N690" s="189">
        <v>2879</v>
      </c>
      <c r="O690" s="189">
        <v>2879</v>
      </c>
      <c r="P690" s="193">
        <v>4650</v>
      </c>
      <c r="Q690" s="193">
        <v>4883</v>
      </c>
      <c r="R690" s="193">
        <v>5127</v>
      </c>
      <c r="S690" s="193">
        <v>5383</v>
      </c>
      <c r="T690" s="193">
        <v>5652</v>
      </c>
      <c r="V690" s="487"/>
      <c r="W690" s="488"/>
      <c r="X690" s="487"/>
      <c r="Y690" s="488"/>
      <c r="AA690" s="187"/>
    </row>
    <row r="691" spans="1:27" ht="24" customHeight="1">
      <c r="A691" s="320" t="s">
        <v>660</v>
      </c>
      <c r="B691" s="255"/>
      <c r="C691" s="255"/>
      <c r="D691" s="320" t="s">
        <v>654</v>
      </c>
      <c r="E691" s="255"/>
      <c r="F691" s="255"/>
      <c r="G691" s="255"/>
      <c r="H691" s="255"/>
      <c r="I691" s="255"/>
      <c r="J691" s="255"/>
      <c r="K691" s="255"/>
      <c r="L691" s="264">
        <v>378</v>
      </c>
      <c r="M691" s="264">
        <v>277</v>
      </c>
      <c r="N691" s="189">
        <v>369</v>
      </c>
      <c r="O691" s="189">
        <v>369</v>
      </c>
      <c r="P691" s="193">
        <v>479</v>
      </c>
      <c r="Q691" s="193">
        <v>493</v>
      </c>
      <c r="R691" s="193">
        <v>508</v>
      </c>
      <c r="S691" s="193">
        <v>523</v>
      </c>
      <c r="T691" s="193">
        <v>539</v>
      </c>
      <c r="V691" s="487"/>
      <c r="W691" s="488"/>
      <c r="X691" s="487"/>
      <c r="Y691" s="488"/>
      <c r="AA691" s="187"/>
    </row>
    <row r="692" spans="1:27" ht="24" customHeight="1">
      <c r="A692" s="320" t="s">
        <v>625</v>
      </c>
      <c r="B692" s="255"/>
      <c r="C692" s="255"/>
      <c r="D692" s="320" t="s">
        <v>186</v>
      </c>
      <c r="E692" s="255"/>
      <c r="F692" s="255"/>
      <c r="G692" s="255"/>
      <c r="H692" s="255"/>
      <c r="I692" s="255"/>
      <c r="J692" s="255"/>
      <c r="K692" s="255"/>
      <c r="L692" s="264">
        <v>552</v>
      </c>
      <c r="M692" s="264">
        <v>302</v>
      </c>
      <c r="N692" s="189">
        <v>2000</v>
      </c>
      <c r="O692" s="189">
        <v>400</v>
      </c>
      <c r="P692" s="188">
        <v>1000</v>
      </c>
      <c r="Q692" s="188">
        <v>1000</v>
      </c>
      <c r="R692" s="188">
        <v>1000</v>
      </c>
      <c r="S692" s="188">
        <v>1000</v>
      </c>
      <c r="T692" s="188">
        <v>1000</v>
      </c>
    </row>
    <row r="693" spans="1:27" ht="24" customHeight="1">
      <c r="A693" s="320" t="s">
        <v>623</v>
      </c>
      <c r="B693" s="255"/>
      <c r="C693" s="255"/>
      <c r="D693" s="320" t="s">
        <v>245</v>
      </c>
      <c r="E693" s="255"/>
      <c r="F693" s="255"/>
      <c r="G693" s="255"/>
      <c r="H693" s="255"/>
      <c r="I693" s="255"/>
      <c r="J693" s="255"/>
      <c r="K693" s="255"/>
      <c r="L693" s="264">
        <v>13811</v>
      </c>
      <c r="M693" s="264">
        <v>14236</v>
      </c>
      <c r="N693" s="189">
        <v>16964</v>
      </c>
      <c r="O693" s="189">
        <v>11000</v>
      </c>
      <c r="P693" s="188">
        <f>ROUND(O693*1.06,0)</f>
        <v>11660</v>
      </c>
      <c r="Q693" s="188">
        <f>ROUND(P693*1.06,0)</f>
        <v>12360</v>
      </c>
      <c r="R693" s="188">
        <f>ROUND(Q693*1.06,0)</f>
        <v>13102</v>
      </c>
      <c r="S693" s="188">
        <f>ROUND(R693*1.06,0)</f>
        <v>13888</v>
      </c>
      <c r="T693" s="188">
        <f>ROUND(S693*1.06,0)</f>
        <v>14721</v>
      </c>
      <c r="V693" s="487"/>
      <c r="W693" s="488"/>
      <c r="X693" s="703"/>
    </row>
    <row r="694" spans="1:27" ht="24" customHeight="1">
      <c r="A694" s="320" t="s">
        <v>962</v>
      </c>
      <c r="B694" s="255"/>
      <c r="C694" s="255"/>
      <c r="D694" s="255" t="s">
        <v>957</v>
      </c>
      <c r="E694" s="255"/>
      <c r="F694" s="255"/>
      <c r="G694" s="255"/>
      <c r="H694" s="255"/>
      <c r="I694" s="255"/>
      <c r="J694" s="255"/>
      <c r="K694" s="255"/>
      <c r="L694" s="264">
        <v>24000</v>
      </c>
      <c r="M694" s="264">
        <v>16800</v>
      </c>
      <c r="N694" s="189">
        <v>0</v>
      </c>
      <c r="O694" s="189">
        <v>0</v>
      </c>
      <c r="P694" s="188">
        <f t="shared" ref="P694:R694" si="198">P666</f>
        <v>0</v>
      </c>
      <c r="Q694" s="188">
        <f t="shared" si="198"/>
        <v>0</v>
      </c>
      <c r="R694" s="188">
        <f t="shared" si="198"/>
        <v>0</v>
      </c>
      <c r="S694" s="188">
        <f t="shared" ref="S694:T694" si="199">S666</f>
        <v>0</v>
      </c>
      <c r="T694" s="188">
        <f t="shared" si="199"/>
        <v>0</v>
      </c>
      <c r="V694" s="187"/>
    </row>
    <row r="695" spans="1:27" ht="24" customHeight="1">
      <c r="A695" s="320" t="s">
        <v>418</v>
      </c>
      <c r="B695" s="321"/>
      <c r="C695" s="321"/>
      <c r="D695" s="320" t="s">
        <v>96</v>
      </c>
      <c r="E695" s="321"/>
      <c r="F695" s="321"/>
      <c r="G695" s="321"/>
      <c r="H695" s="321"/>
      <c r="I695" s="321"/>
      <c r="J695" s="321"/>
      <c r="K695" s="321"/>
      <c r="L695" s="264">
        <v>0</v>
      </c>
      <c r="M695" s="264">
        <v>0</v>
      </c>
      <c r="N695" s="189">
        <v>500</v>
      </c>
      <c r="O695" s="189">
        <v>500</v>
      </c>
      <c r="P695" s="188">
        <f>500+800+(2*500)</f>
        <v>2300</v>
      </c>
      <c r="Q695" s="188">
        <v>500</v>
      </c>
      <c r="R695" s="188">
        <v>500</v>
      </c>
      <c r="S695" s="188">
        <v>500</v>
      </c>
      <c r="T695" s="188">
        <v>500</v>
      </c>
    </row>
    <row r="696" spans="1:27" ht="24" customHeight="1">
      <c r="A696" s="320" t="s">
        <v>419</v>
      </c>
      <c r="B696" s="255"/>
      <c r="C696" s="255"/>
      <c r="D696" s="320" t="s">
        <v>1166</v>
      </c>
      <c r="E696" s="255"/>
      <c r="F696" s="255"/>
      <c r="G696" s="321"/>
      <c r="H696" s="321"/>
      <c r="I696" s="321"/>
      <c r="J696" s="321"/>
      <c r="K696" s="321"/>
      <c r="L696" s="264">
        <v>43</v>
      </c>
      <c r="M696" s="264">
        <v>0</v>
      </c>
      <c r="N696" s="189">
        <v>500</v>
      </c>
      <c r="O696" s="189">
        <v>500</v>
      </c>
      <c r="P696" s="188">
        <v>500</v>
      </c>
      <c r="Q696" s="188">
        <v>500</v>
      </c>
      <c r="R696" s="188">
        <v>500</v>
      </c>
      <c r="S696" s="188">
        <v>500</v>
      </c>
      <c r="T696" s="188">
        <v>500</v>
      </c>
    </row>
    <row r="697" spans="1:27" ht="24" customHeight="1">
      <c r="A697" s="320" t="s">
        <v>764</v>
      </c>
      <c r="B697" s="255"/>
      <c r="C697" s="255"/>
      <c r="D697" s="320" t="s">
        <v>1167</v>
      </c>
      <c r="E697" s="255"/>
      <c r="F697" s="255"/>
      <c r="G697" s="321"/>
      <c r="H697" s="321"/>
      <c r="I697" s="321"/>
      <c r="J697" s="321"/>
      <c r="K697" s="321"/>
      <c r="L697" s="264">
        <v>29</v>
      </c>
      <c r="M697" s="264">
        <v>28</v>
      </c>
      <c r="N697" s="189">
        <v>100</v>
      </c>
      <c r="O697" s="189">
        <v>100</v>
      </c>
      <c r="P697" s="188">
        <f>100+1600</f>
        <v>1700</v>
      </c>
      <c r="Q697" s="188">
        <f t="shared" ref="Q697:T697" si="200">100+1600</f>
        <v>1700</v>
      </c>
      <c r="R697" s="188">
        <f t="shared" si="200"/>
        <v>1700</v>
      </c>
      <c r="S697" s="188">
        <f t="shared" si="200"/>
        <v>1700</v>
      </c>
      <c r="T697" s="188">
        <f t="shared" si="200"/>
        <v>1700</v>
      </c>
    </row>
    <row r="698" spans="1:27" ht="24" customHeight="1">
      <c r="A698" s="320" t="s">
        <v>420</v>
      </c>
      <c r="B698" s="255"/>
      <c r="C698" s="255"/>
      <c r="D698" s="320" t="s">
        <v>240</v>
      </c>
      <c r="E698" s="255"/>
      <c r="F698" s="321"/>
      <c r="G698" s="255"/>
      <c r="H698" s="255"/>
      <c r="I698" s="255"/>
      <c r="J698" s="255"/>
      <c r="K698" s="255"/>
      <c r="L698" s="264">
        <v>1521</v>
      </c>
      <c r="M698" s="264">
        <v>1848</v>
      </c>
      <c r="N698" s="189">
        <v>2500</v>
      </c>
      <c r="O698" s="189">
        <v>2500</v>
      </c>
      <c r="P698" s="188">
        <v>2500</v>
      </c>
      <c r="Q698" s="188">
        <v>2500</v>
      </c>
      <c r="R698" s="188">
        <v>2500</v>
      </c>
      <c r="S698" s="188">
        <v>2500</v>
      </c>
      <c r="T698" s="188">
        <v>2500</v>
      </c>
      <c r="V698" s="187"/>
    </row>
    <row r="699" spans="1:27" ht="24" customHeight="1">
      <c r="A699" s="320" t="s">
        <v>795</v>
      </c>
      <c r="B699" s="255"/>
      <c r="C699" s="255"/>
      <c r="D699" s="320" t="s">
        <v>796</v>
      </c>
      <c r="E699" s="428"/>
      <c r="F699" s="427"/>
      <c r="G699" s="428"/>
      <c r="H699" s="428"/>
      <c r="I699" s="428"/>
      <c r="J699" s="428"/>
      <c r="K699" s="428"/>
      <c r="L699" s="264">
        <v>9695</v>
      </c>
      <c r="M699" s="264">
        <v>18582</v>
      </c>
      <c r="N699" s="189">
        <v>16538</v>
      </c>
      <c r="O699" s="189">
        <v>16538</v>
      </c>
      <c r="P699" s="188">
        <f>ROUND(O699*1.05,0)+4000</f>
        <v>21365</v>
      </c>
      <c r="Q699" s="188">
        <f t="shared" ref="Q699:T699" si="201">ROUND(P699*1.05,0)</f>
        <v>22433</v>
      </c>
      <c r="R699" s="188">
        <f t="shared" si="201"/>
        <v>23555</v>
      </c>
      <c r="S699" s="188">
        <f t="shared" si="201"/>
        <v>24733</v>
      </c>
      <c r="T699" s="188">
        <f t="shared" si="201"/>
        <v>25970</v>
      </c>
      <c r="V699" s="190"/>
    </row>
    <row r="700" spans="1:27" ht="24" customHeight="1">
      <c r="A700" s="320" t="s">
        <v>421</v>
      </c>
      <c r="B700" s="255"/>
      <c r="C700" s="255"/>
      <c r="D700" s="320" t="s">
        <v>10</v>
      </c>
      <c r="E700" s="630"/>
      <c r="F700" s="630"/>
      <c r="G700" s="629"/>
      <c r="H700" s="629"/>
      <c r="I700" s="629"/>
      <c r="J700" s="629"/>
      <c r="K700" s="629"/>
      <c r="L700" s="264">
        <v>2893</v>
      </c>
      <c r="M700" s="264">
        <f>7017-M705</f>
        <v>4917</v>
      </c>
      <c r="N700" s="189">
        <v>7500</v>
      </c>
      <c r="O700" s="189">
        <v>7500</v>
      </c>
      <c r="P700" s="185">
        <v>8000</v>
      </c>
      <c r="Q700" s="185">
        <v>8000</v>
      </c>
      <c r="R700" s="185">
        <v>8000</v>
      </c>
      <c r="S700" s="185">
        <v>8000</v>
      </c>
      <c r="T700" s="185">
        <v>8000</v>
      </c>
    </row>
    <row r="701" spans="1:27" ht="24" customHeight="1">
      <c r="A701" s="320" t="s">
        <v>422</v>
      </c>
      <c r="B701" s="321"/>
      <c r="C701" s="321"/>
      <c r="D701" s="320" t="s">
        <v>17</v>
      </c>
      <c r="E701" s="417"/>
      <c r="F701" s="417"/>
      <c r="G701" s="417"/>
      <c r="H701" s="417"/>
      <c r="I701" s="417"/>
      <c r="J701" s="417"/>
      <c r="K701" s="417"/>
      <c r="L701" s="265">
        <v>36672</v>
      </c>
      <c r="M701" s="265">
        <v>24674</v>
      </c>
      <c r="N701" s="195">
        <v>50715</v>
      </c>
      <c r="O701" s="195">
        <v>50715</v>
      </c>
      <c r="P701" s="188">
        <f>40000-10000</f>
        <v>30000</v>
      </c>
      <c r="Q701" s="188">
        <f t="shared" ref="Q701:T701" si="202">ROUND(P701*1.06,0)</f>
        <v>31800</v>
      </c>
      <c r="R701" s="188">
        <f t="shared" si="202"/>
        <v>33708</v>
      </c>
      <c r="S701" s="188">
        <f t="shared" si="202"/>
        <v>35730</v>
      </c>
      <c r="T701" s="188">
        <f t="shared" si="202"/>
        <v>37874</v>
      </c>
      <c r="V701" s="190"/>
    </row>
    <row r="702" spans="1:27" ht="24" customHeight="1">
      <c r="A702" s="320" t="s">
        <v>423</v>
      </c>
      <c r="B702" s="321"/>
      <c r="C702" s="321"/>
      <c r="D702" s="320" t="s">
        <v>91</v>
      </c>
      <c r="E702" s="321"/>
      <c r="F702" s="321"/>
      <c r="G702" s="255"/>
      <c r="H702" s="255"/>
      <c r="I702" s="255"/>
      <c r="J702" s="255"/>
      <c r="K702" s="255"/>
      <c r="L702" s="285">
        <v>492</v>
      </c>
      <c r="M702" s="285">
        <v>504</v>
      </c>
      <c r="N702" s="224">
        <v>1500</v>
      </c>
      <c r="O702" s="224">
        <v>1500</v>
      </c>
      <c r="P702" s="223">
        <v>1500</v>
      </c>
      <c r="Q702" s="223">
        <v>1500</v>
      </c>
      <c r="R702" s="223">
        <v>1500</v>
      </c>
      <c r="S702" s="223">
        <v>1500</v>
      </c>
      <c r="T702" s="223">
        <v>1500</v>
      </c>
    </row>
    <row r="703" spans="1:27" ht="24" customHeight="1">
      <c r="A703" s="320" t="s">
        <v>1466</v>
      </c>
      <c r="B703" s="323"/>
      <c r="C703" s="323"/>
      <c r="D703" s="320" t="s">
        <v>1461</v>
      </c>
      <c r="E703" s="323"/>
      <c r="F703" s="323"/>
      <c r="G703" s="323"/>
      <c r="H703" s="323"/>
      <c r="I703" s="323"/>
      <c r="J703" s="323"/>
      <c r="K703" s="323"/>
      <c r="L703" s="265">
        <v>0</v>
      </c>
      <c r="M703" s="265">
        <v>0</v>
      </c>
      <c r="N703" s="195">
        <v>0</v>
      </c>
      <c r="O703" s="195">
        <f>75369-1313</f>
        <v>74056</v>
      </c>
      <c r="P703" s="192">
        <v>0</v>
      </c>
      <c r="Q703" s="192">
        <v>0</v>
      </c>
      <c r="R703" s="192">
        <v>0</v>
      </c>
      <c r="S703" s="192">
        <v>0</v>
      </c>
      <c r="T703" s="192">
        <v>0</v>
      </c>
    </row>
    <row r="704" spans="1:27" ht="24" customHeight="1">
      <c r="A704" s="320" t="s">
        <v>1078</v>
      </c>
      <c r="B704" s="321"/>
      <c r="C704" s="321"/>
      <c r="D704" s="320" t="s">
        <v>1073</v>
      </c>
      <c r="E704" s="321"/>
      <c r="F704" s="321"/>
      <c r="G704" s="321"/>
      <c r="H704" s="321"/>
      <c r="I704" s="321"/>
      <c r="J704" s="321"/>
      <c r="K704" s="321"/>
      <c r="L704" s="281">
        <v>8388</v>
      </c>
      <c r="M704" s="281">
        <v>1663</v>
      </c>
      <c r="N704" s="225">
        <v>5000</v>
      </c>
      <c r="O704" s="225">
        <v>5000</v>
      </c>
      <c r="P704" s="217">
        <v>5000</v>
      </c>
      <c r="Q704" s="217">
        <v>5000</v>
      </c>
      <c r="R704" s="217">
        <v>5000</v>
      </c>
      <c r="S704" s="217">
        <v>5000</v>
      </c>
      <c r="T704" s="217">
        <v>5000</v>
      </c>
      <c r="V704" s="187"/>
    </row>
    <row r="705" spans="1:27" ht="24" customHeight="1">
      <c r="A705" s="320" t="s">
        <v>1198</v>
      </c>
      <c r="B705" s="410"/>
      <c r="C705" s="410"/>
      <c r="D705" s="320" t="s">
        <v>1196</v>
      </c>
      <c r="E705" s="580"/>
      <c r="F705" s="580"/>
      <c r="G705" s="580"/>
      <c r="H705" s="580"/>
      <c r="I705" s="580"/>
      <c r="J705" s="580"/>
      <c r="K705" s="580"/>
      <c r="L705" s="281">
        <v>0</v>
      </c>
      <c r="M705" s="281">
        <f>1800+300</f>
        <v>2100</v>
      </c>
      <c r="N705" s="225">
        <v>4000</v>
      </c>
      <c r="O705" s="225">
        <v>4000</v>
      </c>
      <c r="P705" s="217">
        <v>4000</v>
      </c>
      <c r="Q705" s="217">
        <v>4000</v>
      </c>
      <c r="R705" s="217">
        <v>4000</v>
      </c>
      <c r="S705" s="217">
        <v>4000</v>
      </c>
      <c r="T705" s="217">
        <v>4000</v>
      </c>
      <c r="V705" s="187"/>
    </row>
    <row r="706" spans="1:27" ht="24" customHeight="1">
      <c r="A706" s="320" t="s">
        <v>775</v>
      </c>
      <c r="B706" s="321"/>
      <c r="C706" s="321"/>
      <c r="D706" s="320" t="s">
        <v>331</v>
      </c>
      <c r="E706" s="547"/>
      <c r="F706" s="547"/>
      <c r="G706" s="547"/>
      <c r="H706" s="547"/>
      <c r="I706" s="547"/>
      <c r="J706" s="547"/>
      <c r="K706" s="547"/>
      <c r="L706" s="281">
        <v>2812</v>
      </c>
      <c r="M706" s="281">
        <v>2920</v>
      </c>
      <c r="N706" s="225">
        <v>3725</v>
      </c>
      <c r="O706" s="225">
        <v>3725</v>
      </c>
      <c r="P706" s="217">
        <v>2980</v>
      </c>
      <c r="Q706" s="217">
        <v>2980</v>
      </c>
      <c r="R706" s="217">
        <v>2980</v>
      </c>
      <c r="S706" s="217">
        <v>2980</v>
      </c>
      <c r="T706" s="217">
        <f>2980-590</f>
        <v>2390</v>
      </c>
    </row>
    <row r="707" spans="1:27" ht="24" customHeight="1">
      <c r="A707" s="320" t="s">
        <v>774</v>
      </c>
      <c r="B707" s="321"/>
      <c r="C707" s="321"/>
      <c r="D707" s="320" t="s">
        <v>18</v>
      </c>
      <c r="E707" s="321"/>
      <c r="F707" s="321"/>
      <c r="G707" s="321"/>
      <c r="H707" s="321"/>
      <c r="I707" s="321"/>
      <c r="J707" s="321"/>
      <c r="K707" s="321"/>
      <c r="L707" s="264">
        <v>2632</v>
      </c>
      <c r="M707" s="264">
        <v>1494</v>
      </c>
      <c r="N707" s="189">
        <v>3000</v>
      </c>
      <c r="O707" s="189">
        <v>3000</v>
      </c>
      <c r="P707" s="188">
        <v>3000</v>
      </c>
      <c r="Q707" s="188">
        <v>3000</v>
      </c>
      <c r="R707" s="188">
        <v>3000</v>
      </c>
      <c r="S707" s="188">
        <v>3000</v>
      </c>
      <c r="T707" s="188">
        <v>3000</v>
      </c>
    </row>
    <row r="708" spans="1:27" ht="24" customHeight="1">
      <c r="A708" s="320" t="s">
        <v>424</v>
      </c>
      <c r="B708" s="321"/>
      <c r="C708" s="321"/>
      <c r="D708" s="320" t="s">
        <v>101</v>
      </c>
      <c r="E708" s="321"/>
      <c r="F708" s="321"/>
      <c r="G708" s="321"/>
      <c r="H708" s="321"/>
      <c r="I708" s="321"/>
      <c r="J708" s="321"/>
      <c r="K708" s="321"/>
      <c r="L708" s="264">
        <v>3194</v>
      </c>
      <c r="M708" s="264">
        <v>2930</v>
      </c>
      <c r="N708" s="189">
        <v>2500</v>
      </c>
      <c r="O708" s="189">
        <v>2500</v>
      </c>
      <c r="P708" s="185">
        <f>ROUND(O708*1.05,0)</f>
        <v>2625</v>
      </c>
      <c r="Q708" s="185">
        <f t="shared" ref="Q708:T708" si="203">ROUND(P708*1.05,0)</f>
        <v>2756</v>
      </c>
      <c r="R708" s="185">
        <f t="shared" si="203"/>
        <v>2894</v>
      </c>
      <c r="S708" s="185">
        <f t="shared" si="203"/>
        <v>3039</v>
      </c>
      <c r="T708" s="185">
        <f t="shared" si="203"/>
        <v>3191</v>
      </c>
    </row>
    <row r="709" spans="1:27" ht="24" customHeight="1">
      <c r="A709" s="320" t="s">
        <v>425</v>
      </c>
      <c r="B709" s="321"/>
      <c r="C709" s="321"/>
      <c r="D709" s="320" t="s">
        <v>11</v>
      </c>
      <c r="E709" s="410"/>
      <c r="F709" s="410"/>
      <c r="G709" s="410"/>
      <c r="H709" s="410"/>
      <c r="I709" s="410"/>
      <c r="J709" s="410"/>
      <c r="K709" s="410"/>
      <c r="L709" s="264">
        <v>1264</v>
      </c>
      <c r="M709" s="264">
        <v>2342</v>
      </c>
      <c r="N709" s="189">
        <v>2000</v>
      </c>
      <c r="O709" s="189">
        <v>2000</v>
      </c>
      <c r="P709" s="188">
        <v>2000</v>
      </c>
      <c r="Q709" s="188">
        <v>2000</v>
      </c>
      <c r="R709" s="188">
        <v>2000</v>
      </c>
      <c r="S709" s="188">
        <v>2000</v>
      </c>
      <c r="T709" s="188">
        <v>2000</v>
      </c>
    </row>
    <row r="710" spans="1:27" ht="24" customHeight="1">
      <c r="A710" s="320" t="s">
        <v>426</v>
      </c>
      <c r="B710" s="321"/>
      <c r="C710" s="321"/>
      <c r="D710" s="320" t="s">
        <v>427</v>
      </c>
      <c r="E710" s="427"/>
      <c r="F710" s="427"/>
      <c r="G710" s="427"/>
      <c r="H710" s="427"/>
      <c r="I710" s="427"/>
      <c r="J710" s="427"/>
      <c r="K710" s="427"/>
      <c r="L710" s="265">
        <v>3071</v>
      </c>
      <c r="M710" s="265">
        <v>2682</v>
      </c>
      <c r="N710" s="186">
        <v>12000</v>
      </c>
      <c r="O710" s="186">
        <v>12000</v>
      </c>
      <c r="P710" s="185">
        <v>12000</v>
      </c>
      <c r="Q710" s="185">
        <v>12000</v>
      </c>
      <c r="R710" s="185">
        <v>12000</v>
      </c>
      <c r="S710" s="185">
        <v>12000</v>
      </c>
      <c r="T710" s="185">
        <v>12000</v>
      </c>
      <c r="V710" s="190"/>
    </row>
    <row r="711" spans="1:27" ht="24" customHeight="1">
      <c r="A711" s="320" t="s">
        <v>428</v>
      </c>
      <c r="B711" s="321"/>
      <c r="C711" s="321"/>
      <c r="D711" s="320" t="s">
        <v>12</v>
      </c>
      <c r="E711" s="410"/>
      <c r="F711" s="410"/>
      <c r="G711" s="410"/>
      <c r="H711" s="410"/>
      <c r="I711" s="410"/>
      <c r="J711" s="410"/>
      <c r="K711" s="321"/>
      <c r="L711" s="264">
        <v>4413</v>
      </c>
      <c r="M711" s="264">
        <v>3959</v>
      </c>
      <c r="N711" s="189">
        <v>4500</v>
      </c>
      <c r="O711" s="189">
        <v>4500</v>
      </c>
      <c r="P711" s="188">
        <f t="shared" ref="P711:T711" si="204">2500+2000</f>
        <v>4500</v>
      </c>
      <c r="Q711" s="188">
        <f t="shared" si="204"/>
        <v>4500</v>
      </c>
      <c r="R711" s="188">
        <f t="shared" si="204"/>
        <v>4500</v>
      </c>
      <c r="S711" s="188">
        <f t="shared" si="204"/>
        <v>4500</v>
      </c>
      <c r="T711" s="188">
        <f t="shared" si="204"/>
        <v>4500</v>
      </c>
    </row>
    <row r="712" spans="1:27" ht="24" customHeight="1">
      <c r="A712" s="320" t="s">
        <v>1079</v>
      </c>
      <c r="B712" s="321"/>
      <c r="C712" s="321"/>
      <c r="D712" s="320" t="s">
        <v>1075</v>
      </c>
      <c r="E712" s="321"/>
      <c r="F712" s="321"/>
      <c r="G712" s="321"/>
      <c r="H712" s="321"/>
      <c r="I712" s="321"/>
      <c r="J712" s="321"/>
      <c r="K712" s="321"/>
      <c r="L712" s="264">
        <v>0</v>
      </c>
      <c r="M712" s="264">
        <v>3557</v>
      </c>
      <c r="N712" s="189">
        <v>2000</v>
      </c>
      <c r="O712" s="189">
        <v>2000</v>
      </c>
      <c r="P712" s="188">
        <v>2000</v>
      </c>
      <c r="Q712" s="188">
        <v>2000</v>
      </c>
      <c r="R712" s="188">
        <v>2000</v>
      </c>
      <c r="S712" s="188">
        <v>2000</v>
      </c>
      <c r="T712" s="188">
        <v>2000</v>
      </c>
      <c r="U712" s="396"/>
      <c r="V712" s="763"/>
      <c r="W712" s="763"/>
      <c r="X712" s="763"/>
      <c r="Z712" s="698"/>
      <c r="AA712" s="698"/>
    </row>
    <row r="713" spans="1:27" ht="24" customHeight="1">
      <c r="A713" s="320" t="s">
        <v>429</v>
      </c>
      <c r="B713" s="321"/>
      <c r="C713" s="321"/>
      <c r="D713" s="320" t="s">
        <v>16</v>
      </c>
      <c r="E713" s="321"/>
      <c r="F713" s="321"/>
      <c r="G713" s="321"/>
      <c r="H713" s="321"/>
      <c r="I713" s="321"/>
      <c r="J713" s="321"/>
      <c r="K713" s="321"/>
      <c r="L713" s="264">
        <v>2481</v>
      </c>
      <c r="M713" s="264">
        <v>7867</v>
      </c>
      <c r="N713" s="189">
        <v>2500</v>
      </c>
      <c r="O713" s="189">
        <v>2500</v>
      </c>
      <c r="P713" s="188">
        <f>1000+500+1000</f>
        <v>2500</v>
      </c>
      <c r="Q713" s="188">
        <f>1000+500+1000</f>
        <v>2500</v>
      </c>
      <c r="R713" s="188">
        <f>1000+500+1000</f>
        <v>2500</v>
      </c>
      <c r="S713" s="188">
        <f>1000+500+1000</f>
        <v>2500</v>
      </c>
      <c r="T713" s="188">
        <f>1000+500+1000</f>
        <v>2500</v>
      </c>
      <c r="V713" s="698"/>
      <c r="W713" s="530"/>
      <c r="X713" s="487"/>
      <c r="Z713" s="698"/>
      <c r="AA713" s="712"/>
    </row>
    <row r="714" spans="1:27" ht="24" customHeight="1">
      <c r="A714" s="320" t="s">
        <v>430</v>
      </c>
      <c r="B714" s="321"/>
      <c r="C714" s="321"/>
      <c r="D714" s="320" t="s">
        <v>249</v>
      </c>
      <c r="E714" s="321"/>
      <c r="F714" s="321"/>
      <c r="G714" s="338"/>
      <c r="H714" s="338"/>
      <c r="I714" s="338"/>
      <c r="J714" s="338"/>
      <c r="K714" s="338"/>
      <c r="L714" s="264">
        <v>0</v>
      </c>
      <c r="M714" s="264">
        <v>225</v>
      </c>
      <c r="N714" s="189">
        <v>1200</v>
      </c>
      <c r="O714" s="189">
        <v>1200</v>
      </c>
      <c r="P714" s="188">
        <v>1200</v>
      </c>
      <c r="Q714" s="188">
        <v>1200</v>
      </c>
      <c r="R714" s="188">
        <v>1200</v>
      </c>
      <c r="S714" s="188">
        <v>1200</v>
      </c>
      <c r="T714" s="188">
        <v>1200</v>
      </c>
      <c r="V714" s="698"/>
      <c r="W714" s="530"/>
      <c r="X714" s="487"/>
    </row>
    <row r="715" spans="1:27" ht="24" customHeight="1">
      <c r="A715" s="320" t="s">
        <v>431</v>
      </c>
      <c r="B715" s="321"/>
      <c r="C715" s="321"/>
      <c r="D715" s="320" t="s">
        <v>1169</v>
      </c>
      <c r="E715" s="427"/>
      <c r="F715" s="427"/>
      <c r="G715" s="427"/>
      <c r="H715" s="427"/>
      <c r="I715" s="427"/>
      <c r="J715" s="427"/>
      <c r="K715" s="427"/>
      <c r="L715" s="262">
        <v>7547</v>
      </c>
      <c r="M715" s="262">
        <v>12777</v>
      </c>
      <c r="N715" s="186">
        <v>30000</v>
      </c>
      <c r="O715" s="186">
        <v>30000</v>
      </c>
      <c r="P715" s="185">
        <v>30000</v>
      </c>
      <c r="Q715" s="185">
        <v>30000</v>
      </c>
      <c r="R715" s="185">
        <v>30000</v>
      </c>
      <c r="S715" s="185">
        <v>30000</v>
      </c>
      <c r="T715" s="185">
        <v>30000</v>
      </c>
    </row>
    <row r="716" spans="1:27" ht="24" customHeight="1">
      <c r="A716" s="320" t="s">
        <v>432</v>
      </c>
      <c r="B716" s="321"/>
      <c r="C716" s="321"/>
      <c r="D716" s="320" t="s">
        <v>145</v>
      </c>
      <c r="E716" s="417"/>
      <c r="F716" s="417"/>
      <c r="G716" s="417"/>
      <c r="H716" s="417"/>
      <c r="I716" s="417"/>
      <c r="J716" s="417"/>
      <c r="K716" s="417"/>
      <c r="L716" s="265">
        <v>22408</v>
      </c>
      <c r="M716" s="265">
        <v>29725</v>
      </c>
      <c r="N716" s="195">
        <v>33444</v>
      </c>
      <c r="O716" s="195">
        <v>33444</v>
      </c>
      <c r="P716" s="192">
        <f t="shared" ref="P716:T716" si="205">ROUND(O716*1.07,0)</f>
        <v>35785</v>
      </c>
      <c r="Q716" s="192">
        <f t="shared" si="205"/>
        <v>38290</v>
      </c>
      <c r="R716" s="192">
        <f t="shared" si="205"/>
        <v>40970</v>
      </c>
      <c r="S716" s="192">
        <f t="shared" si="205"/>
        <v>43838</v>
      </c>
      <c r="T716" s="192">
        <f t="shared" si="205"/>
        <v>46907</v>
      </c>
      <c r="V716" s="187"/>
    </row>
    <row r="717" spans="1:27" ht="24" customHeight="1">
      <c r="A717" s="320" t="s">
        <v>1182</v>
      </c>
      <c r="B717" s="321"/>
      <c r="C717" s="321"/>
      <c r="D717" s="322" t="s">
        <v>1178</v>
      </c>
      <c r="E717" s="321"/>
      <c r="F717" s="321"/>
      <c r="G717" s="321"/>
      <c r="H717" s="321"/>
      <c r="I717" s="321"/>
      <c r="J717" s="321"/>
      <c r="K717" s="321"/>
      <c r="L717" s="265">
        <v>0</v>
      </c>
      <c r="M717" s="265">
        <v>0</v>
      </c>
      <c r="N717" s="195">
        <v>200000</v>
      </c>
      <c r="O717" s="195">
        <v>200000</v>
      </c>
      <c r="P717" s="192">
        <v>200000</v>
      </c>
      <c r="Q717" s="192">
        <v>200000</v>
      </c>
      <c r="R717" s="192">
        <v>200000</v>
      </c>
      <c r="S717" s="192">
        <v>200000</v>
      </c>
      <c r="T717" s="192">
        <v>200000</v>
      </c>
      <c r="V717" s="187"/>
    </row>
    <row r="718" spans="1:27" ht="24" customHeight="1">
      <c r="A718" s="320" t="s">
        <v>1408</v>
      </c>
      <c r="B718" s="635"/>
      <c r="C718" s="635"/>
      <c r="D718" s="322" t="s">
        <v>1409</v>
      </c>
      <c r="E718" s="635"/>
      <c r="F718" s="635"/>
      <c r="G718" s="635"/>
      <c r="H718" s="635"/>
      <c r="I718" s="635"/>
      <c r="J718" s="635"/>
      <c r="K718" s="635"/>
      <c r="L718" s="265">
        <v>0</v>
      </c>
      <c r="M718" s="265">
        <v>0</v>
      </c>
      <c r="N718" s="195">
        <v>0</v>
      </c>
      <c r="O718" s="189">
        <f>ROUND(72948.6+13625.4,0)</f>
        <v>86574</v>
      </c>
      <c r="P718" s="192">
        <v>200000</v>
      </c>
      <c r="Q718" s="192">
        <v>200000</v>
      </c>
      <c r="R718" s="192">
        <v>200000</v>
      </c>
      <c r="S718" s="192">
        <v>200000</v>
      </c>
      <c r="T718" s="192">
        <v>200000</v>
      </c>
      <c r="V718" s="187"/>
    </row>
    <row r="719" spans="1:27" ht="24" customHeight="1">
      <c r="A719" s="320" t="s">
        <v>1105</v>
      </c>
      <c r="B719" s="321"/>
      <c r="C719" s="321"/>
      <c r="D719" s="320" t="s">
        <v>306</v>
      </c>
      <c r="E719" s="321"/>
      <c r="F719" s="321"/>
      <c r="G719" s="321"/>
      <c r="H719" s="321"/>
      <c r="I719" s="321"/>
      <c r="J719" s="321"/>
      <c r="K719" s="321"/>
      <c r="L719" s="265">
        <v>0</v>
      </c>
      <c r="M719" s="265">
        <v>0</v>
      </c>
      <c r="N719" s="195">
        <v>333997</v>
      </c>
      <c r="O719" s="195">
        <v>379986</v>
      </c>
      <c r="P719" s="192">
        <v>0</v>
      </c>
      <c r="Q719" s="192">
        <v>0</v>
      </c>
      <c r="R719" s="192">
        <v>0</v>
      </c>
      <c r="S719" s="192">
        <v>0</v>
      </c>
      <c r="T719" s="192">
        <v>0</v>
      </c>
      <c r="V719" s="187"/>
    </row>
    <row r="720" spans="1:27" ht="24" customHeight="1">
      <c r="A720" s="320" t="s">
        <v>433</v>
      </c>
      <c r="B720" s="255"/>
      <c r="C720" s="255"/>
      <c r="D720" s="320" t="s">
        <v>301</v>
      </c>
      <c r="E720" s="255"/>
      <c r="F720" s="255"/>
      <c r="G720" s="255"/>
      <c r="H720" s="255"/>
      <c r="I720" s="255"/>
      <c r="J720" s="255"/>
      <c r="K720" s="255"/>
      <c r="L720" s="264">
        <v>38951</v>
      </c>
      <c r="M720" s="264">
        <v>66773</v>
      </c>
      <c r="N720" s="189">
        <v>59098</v>
      </c>
      <c r="O720" s="189">
        <f>ROUND((4917.93*12),0)</f>
        <v>59015</v>
      </c>
      <c r="P720" s="188">
        <f>ROUND((4917.93*12),0)</f>
        <v>59015</v>
      </c>
      <c r="Q720" s="188">
        <f t="shared" ref="Q720:T720" si="206">ROUND((4917.93*12),0)</f>
        <v>59015</v>
      </c>
      <c r="R720" s="188">
        <f t="shared" si="206"/>
        <v>59015</v>
      </c>
      <c r="S720" s="188">
        <f t="shared" si="206"/>
        <v>59015</v>
      </c>
      <c r="T720" s="188">
        <f t="shared" si="206"/>
        <v>59015</v>
      </c>
      <c r="U720" s="392"/>
      <c r="V720" s="187"/>
    </row>
    <row r="721" spans="1:30" ht="24" customHeight="1">
      <c r="A721" s="320" t="s">
        <v>434</v>
      </c>
      <c r="B721" s="255"/>
      <c r="C721" s="255"/>
      <c r="D721" s="320" t="s">
        <v>435</v>
      </c>
      <c r="E721" s="255"/>
      <c r="F721" s="255"/>
      <c r="G721" s="255"/>
      <c r="H721" s="255"/>
      <c r="I721" s="255"/>
      <c r="J721" s="255"/>
      <c r="K721" s="255"/>
      <c r="L721" s="264">
        <v>30996</v>
      </c>
      <c r="M721" s="264">
        <v>0</v>
      </c>
      <c r="N721" s="189">
        <v>0</v>
      </c>
      <c r="O721" s="189">
        <f>30996+31926</f>
        <v>62922</v>
      </c>
      <c r="P721" s="188">
        <v>32891</v>
      </c>
      <c r="Q721" s="188">
        <v>33872</v>
      </c>
      <c r="R721" s="188">
        <v>34888</v>
      </c>
      <c r="S721" s="188">
        <v>35939</v>
      </c>
      <c r="T721" s="188">
        <v>28204</v>
      </c>
      <c r="V721" s="763"/>
      <c r="W721" s="763"/>
      <c r="X721" s="763"/>
      <c r="Y721" s="763"/>
      <c r="Z721" s="763"/>
      <c r="AA721" s="763"/>
      <c r="AB721" s="535"/>
      <c r="AC721" s="419"/>
    </row>
    <row r="722" spans="1:30" ht="24" customHeight="1">
      <c r="A722" s="324" t="s">
        <v>436</v>
      </c>
      <c r="B722" s="324"/>
      <c r="C722" s="324"/>
      <c r="D722" s="324"/>
      <c r="E722" s="324"/>
      <c r="F722" s="324"/>
      <c r="G722" s="324"/>
      <c r="H722" s="324"/>
      <c r="I722" s="324"/>
      <c r="J722" s="324"/>
      <c r="K722" s="324"/>
      <c r="L722" s="273"/>
      <c r="M722" s="273"/>
      <c r="N722" s="204"/>
      <c r="O722" s="204"/>
      <c r="P722" s="203"/>
      <c r="Q722" s="203"/>
      <c r="R722" s="203"/>
      <c r="S722" s="203"/>
      <c r="T722" s="203"/>
      <c r="V722" s="714"/>
      <c r="W722" s="714"/>
      <c r="X722" s="714"/>
      <c r="Y722" s="714"/>
      <c r="Z722" s="714"/>
      <c r="AA722" s="714"/>
      <c r="AD722" s="249"/>
    </row>
    <row r="723" spans="1:30" ht="24" customHeight="1">
      <c r="A723" s="320" t="s">
        <v>437</v>
      </c>
      <c r="B723" s="321"/>
      <c r="C723" s="321"/>
      <c r="D723" s="320" t="s">
        <v>1117</v>
      </c>
      <c r="E723" s="321"/>
      <c r="F723" s="321"/>
      <c r="G723" s="321"/>
      <c r="H723" s="321"/>
      <c r="I723" s="321"/>
      <c r="J723" s="321"/>
      <c r="K723" s="321"/>
      <c r="L723" s="264">
        <v>170000</v>
      </c>
      <c r="M723" s="264">
        <v>280000</v>
      </c>
      <c r="N723" s="189">
        <v>375000</v>
      </c>
      <c r="O723" s="189">
        <v>375000</v>
      </c>
      <c r="P723" s="188">
        <v>395000</v>
      </c>
      <c r="Q723" s="188">
        <v>410000</v>
      </c>
      <c r="R723" s="188">
        <v>435000</v>
      </c>
      <c r="S723" s="188">
        <v>455000</v>
      </c>
      <c r="T723" s="188">
        <v>0</v>
      </c>
      <c r="V723" s="530"/>
      <c r="W723" s="530"/>
      <c r="X723" s="530"/>
      <c r="Y723" s="530"/>
      <c r="Z723" s="530"/>
      <c r="AA723" s="530"/>
      <c r="AD723" s="240"/>
    </row>
    <row r="724" spans="1:30" ht="24" customHeight="1">
      <c r="A724" s="320" t="s">
        <v>438</v>
      </c>
      <c r="B724" s="321"/>
      <c r="C724" s="321"/>
      <c r="D724" s="320" t="s">
        <v>1194</v>
      </c>
      <c r="E724" s="321"/>
      <c r="F724" s="321"/>
      <c r="G724" s="321"/>
      <c r="H724" s="321"/>
      <c r="I724" s="321"/>
      <c r="J724" s="321"/>
      <c r="K724" s="321"/>
      <c r="L724" s="266">
        <v>93850</v>
      </c>
      <c r="M724" s="266">
        <v>88750</v>
      </c>
      <c r="N724" s="189">
        <v>78950</v>
      </c>
      <c r="O724" s="189">
        <v>78950</v>
      </c>
      <c r="P724" s="188">
        <v>65825</v>
      </c>
      <c r="Q724" s="188">
        <v>52000</v>
      </c>
      <c r="R724" s="188">
        <v>35600</v>
      </c>
      <c r="S724" s="188">
        <v>18200</v>
      </c>
      <c r="T724" s="188">
        <v>0</v>
      </c>
      <c r="V724" s="530"/>
      <c r="W724" s="530"/>
      <c r="X724" s="530"/>
      <c r="Y724" s="530"/>
      <c r="Z724" s="530"/>
      <c r="AA724" s="530"/>
      <c r="AD724" s="240"/>
    </row>
    <row r="725" spans="1:30" ht="24" customHeight="1">
      <c r="A725" s="324" t="s">
        <v>1191</v>
      </c>
      <c r="B725" s="324"/>
      <c r="C725" s="324"/>
      <c r="D725" s="324"/>
      <c r="E725" s="324"/>
      <c r="F725" s="324"/>
      <c r="G725" s="324"/>
      <c r="H725" s="324"/>
      <c r="I725" s="324"/>
      <c r="J725" s="324"/>
      <c r="K725" s="324"/>
      <c r="L725" s="273"/>
      <c r="M725" s="273"/>
      <c r="N725" s="204"/>
      <c r="O725" s="204"/>
      <c r="P725" s="203"/>
      <c r="Q725" s="203"/>
      <c r="R725" s="203"/>
      <c r="S725" s="203"/>
      <c r="T725" s="203"/>
      <c r="V725" s="530"/>
      <c r="W725" s="530"/>
      <c r="X725" s="530"/>
      <c r="Y725" s="530"/>
      <c r="Z725" s="530"/>
      <c r="AA725" s="530"/>
      <c r="AD725" s="240"/>
    </row>
    <row r="726" spans="1:30" ht="24" customHeight="1">
      <c r="A726" s="320" t="s">
        <v>439</v>
      </c>
      <c r="B726" s="321"/>
      <c r="C726" s="321"/>
      <c r="D726" s="320" t="s">
        <v>1117</v>
      </c>
      <c r="E726" s="321"/>
      <c r="F726" s="321"/>
      <c r="G726" s="321"/>
      <c r="H726" s="321"/>
      <c r="I726" s="321"/>
      <c r="J726" s="321"/>
      <c r="K726" s="321"/>
      <c r="L726" s="264">
        <v>100000</v>
      </c>
      <c r="M726" s="264">
        <v>100000</v>
      </c>
      <c r="N726" s="189">
        <v>105000</v>
      </c>
      <c r="O726" s="189">
        <v>105000</v>
      </c>
      <c r="P726" s="188">
        <v>110000</v>
      </c>
      <c r="Q726" s="188">
        <v>115000</v>
      </c>
      <c r="R726" s="188">
        <v>120000</v>
      </c>
      <c r="S726" s="188">
        <v>130000</v>
      </c>
      <c r="T726" s="188">
        <v>135000</v>
      </c>
      <c r="V726" s="530"/>
      <c r="W726" s="530"/>
      <c r="X726" s="530"/>
      <c r="Y726" s="530"/>
      <c r="Z726" s="530"/>
      <c r="AA726" s="530"/>
      <c r="AD726" s="240"/>
    </row>
    <row r="727" spans="1:30" ht="24" customHeight="1">
      <c r="A727" s="320" t="s">
        <v>440</v>
      </c>
      <c r="B727" s="321"/>
      <c r="C727" s="321"/>
      <c r="D727" s="320" t="s">
        <v>1194</v>
      </c>
      <c r="E727" s="321"/>
      <c r="F727" s="321"/>
      <c r="G727" s="321"/>
      <c r="H727" s="321"/>
      <c r="I727" s="321"/>
      <c r="J727" s="321"/>
      <c r="K727" s="321"/>
      <c r="L727" s="266">
        <v>66248</v>
      </c>
      <c r="M727" s="266">
        <v>62048</v>
      </c>
      <c r="N727" s="189">
        <v>57648</v>
      </c>
      <c r="O727" s="189">
        <v>57648</v>
      </c>
      <c r="P727" s="188">
        <v>52870</v>
      </c>
      <c r="Q727" s="188">
        <v>47755</v>
      </c>
      <c r="R727" s="188">
        <v>42293</v>
      </c>
      <c r="S727" s="188">
        <v>36233</v>
      </c>
      <c r="T727" s="188">
        <v>29668</v>
      </c>
      <c r="V727" s="530"/>
      <c r="W727" s="530"/>
      <c r="X727" s="530"/>
      <c r="Y727" s="530"/>
      <c r="Z727" s="530"/>
      <c r="AA727" s="530"/>
      <c r="AD727" s="240"/>
    </row>
    <row r="728" spans="1:30" ht="24" customHeight="1">
      <c r="A728" s="324" t="s">
        <v>1337</v>
      </c>
      <c r="B728" s="324"/>
      <c r="C728" s="324"/>
      <c r="D728" s="324"/>
      <c r="E728" s="324"/>
      <c r="F728" s="324"/>
      <c r="G728" s="324"/>
      <c r="H728" s="324"/>
      <c r="I728" s="324"/>
      <c r="J728" s="324"/>
      <c r="K728" s="324"/>
      <c r="L728" s="273"/>
      <c r="M728" s="273"/>
      <c r="N728" s="204"/>
      <c r="O728" s="204"/>
      <c r="P728" s="203"/>
      <c r="Q728" s="203"/>
      <c r="R728" s="203"/>
      <c r="S728" s="203"/>
      <c r="T728" s="203"/>
      <c r="V728" s="530"/>
      <c r="W728" s="530"/>
      <c r="X728" s="530"/>
      <c r="Y728" s="530"/>
      <c r="Z728" s="530"/>
      <c r="AA728" s="530"/>
      <c r="AD728" s="240"/>
    </row>
    <row r="729" spans="1:30" ht="24" customHeight="1">
      <c r="A729" s="320" t="s">
        <v>441</v>
      </c>
      <c r="B729" s="321"/>
      <c r="C729" s="321"/>
      <c r="D729" s="320" t="s">
        <v>1117</v>
      </c>
      <c r="E729" s="321"/>
      <c r="F729" s="321"/>
      <c r="G729" s="321"/>
      <c r="H729" s="321"/>
      <c r="I729" s="321"/>
      <c r="J729" s="321"/>
      <c r="K729" s="321"/>
      <c r="L729" s="264">
        <v>175000</v>
      </c>
      <c r="M729" s="264">
        <v>180000</v>
      </c>
      <c r="N729" s="189">
        <v>190000</v>
      </c>
      <c r="O729" s="189">
        <v>190000</v>
      </c>
      <c r="P729" s="188">
        <v>0</v>
      </c>
      <c r="Q729" s="188">
        <v>0</v>
      </c>
      <c r="R729" s="188">
        <v>0</v>
      </c>
      <c r="S729" s="188">
        <v>0</v>
      </c>
      <c r="T729" s="188">
        <v>0</v>
      </c>
      <c r="V729" s="530"/>
      <c r="W729" s="530"/>
      <c r="X729" s="530"/>
      <c r="Y729" s="530"/>
      <c r="Z729" s="530"/>
      <c r="AA729" s="530"/>
      <c r="AD729" s="240"/>
    </row>
    <row r="730" spans="1:30" ht="24" customHeight="1">
      <c r="A730" s="320" t="s">
        <v>442</v>
      </c>
      <c r="B730" s="321"/>
      <c r="C730" s="321"/>
      <c r="D730" s="320" t="s">
        <v>1194</v>
      </c>
      <c r="E730" s="321"/>
      <c r="F730" s="321"/>
      <c r="G730" s="321"/>
      <c r="H730" s="321"/>
      <c r="I730" s="321"/>
      <c r="J730" s="321"/>
      <c r="K730" s="321"/>
      <c r="L730" s="266">
        <v>18738</v>
      </c>
      <c r="M730" s="266">
        <v>13050</v>
      </c>
      <c r="N730" s="189">
        <v>6840</v>
      </c>
      <c r="O730" s="189">
        <v>6840</v>
      </c>
      <c r="P730" s="188">
        <v>0</v>
      </c>
      <c r="Q730" s="188">
        <v>0</v>
      </c>
      <c r="R730" s="188">
        <v>0</v>
      </c>
      <c r="S730" s="188">
        <v>0</v>
      </c>
      <c r="T730" s="188">
        <v>0</v>
      </c>
      <c r="V730" s="530"/>
      <c r="W730" s="530"/>
      <c r="X730" s="530"/>
      <c r="Y730" s="530"/>
      <c r="Z730" s="530"/>
      <c r="AA730" s="530"/>
      <c r="AD730" s="240"/>
    </row>
    <row r="731" spans="1:30" ht="24" customHeight="1">
      <c r="A731" s="324" t="s">
        <v>443</v>
      </c>
      <c r="B731" s="324"/>
      <c r="C731" s="324"/>
      <c r="D731" s="324"/>
      <c r="E731" s="324"/>
      <c r="F731" s="324"/>
      <c r="G731" s="324"/>
      <c r="H731" s="324"/>
      <c r="I731" s="324"/>
      <c r="J731" s="324"/>
      <c r="K731" s="324"/>
      <c r="L731" s="273"/>
      <c r="M731" s="273"/>
      <c r="N731" s="204"/>
      <c r="O731" s="204"/>
      <c r="P731" s="203"/>
      <c r="Q731" s="203"/>
      <c r="R731" s="203"/>
      <c r="S731" s="203"/>
      <c r="T731" s="203"/>
      <c r="V731" s="530"/>
      <c r="W731" s="530"/>
      <c r="X731" s="530"/>
      <c r="Y731" s="530"/>
      <c r="Z731" s="530"/>
      <c r="AA731" s="530"/>
      <c r="AD731" s="240"/>
    </row>
    <row r="732" spans="1:30" ht="24" customHeight="1">
      <c r="A732" s="320" t="s">
        <v>967</v>
      </c>
      <c r="B732" s="321"/>
      <c r="C732" s="321"/>
      <c r="D732" s="320" t="s">
        <v>1117</v>
      </c>
      <c r="E732" s="321"/>
      <c r="F732" s="321"/>
      <c r="G732" s="321"/>
      <c r="H732" s="321"/>
      <c r="I732" s="321"/>
      <c r="J732" s="321"/>
      <c r="K732" s="321"/>
      <c r="L732" s="264">
        <v>0</v>
      </c>
      <c r="M732" s="264">
        <v>660000</v>
      </c>
      <c r="N732" s="189">
        <v>685000</v>
      </c>
      <c r="O732" s="189">
        <v>685000</v>
      </c>
      <c r="P732" s="188">
        <v>715000</v>
      </c>
      <c r="Q732" s="188">
        <v>745000</v>
      </c>
      <c r="R732" s="188">
        <v>780000</v>
      </c>
      <c r="S732" s="188">
        <v>810000</v>
      </c>
      <c r="T732" s="188">
        <v>845000</v>
      </c>
      <c r="V732" s="530"/>
      <c r="W732" s="530"/>
      <c r="X732" s="530"/>
      <c r="Y732" s="530"/>
      <c r="Z732" s="530"/>
      <c r="AA732" s="530"/>
      <c r="AD732" s="240"/>
    </row>
    <row r="733" spans="1:30" ht="24" customHeight="1">
      <c r="A733" s="320" t="s">
        <v>968</v>
      </c>
      <c r="B733" s="321"/>
      <c r="C733" s="321"/>
      <c r="D733" s="320" t="s">
        <v>1194</v>
      </c>
      <c r="E733" s="321"/>
      <c r="F733" s="321"/>
      <c r="G733" s="321"/>
      <c r="H733" s="321"/>
      <c r="I733" s="321"/>
      <c r="J733" s="321"/>
      <c r="K733" s="321"/>
      <c r="L733" s="266">
        <v>318147</v>
      </c>
      <c r="M733" s="266">
        <v>477220</v>
      </c>
      <c r="N733" s="194">
        <v>448972</v>
      </c>
      <c r="O733" s="194">
        <v>448972</v>
      </c>
      <c r="P733" s="193">
        <v>419654</v>
      </c>
      <c r="Q733" s="193">
        <v>389052</v>
      </c>
      <c r="R733" s="193">
        <v>357166</v>
      </c>
      <c r="S733" s="193">
        <v>323782</v>
      </c>
      <c r="T733" s="193">
        <v>289114</v>
      </c>
      <c r="V733" s="530"/>
      <c r="W733" s="530"/>
      <c r="X733" s="530"/>
      <c r="Y733" s="530"/>
      <c r="Z733" s="530"/>
      <c r="AA733" s="530"/>
      <c r="AD733" s="240"/>
    </row>
    <row r="734" spans="1:30" ht="24" customHeight="1">
      <c r="A734" s="324" t="s">
        <v>444</v>
      </c>
      <c r="B734" s="324"/>
      <c r="C734" s="324"/>
      <c r="D734" s="324"/>
      <c r="E734" s="324"/>
      <c r="F734" s="324"/>
      <c r="G734" s="324"/>
      <c r="H734" s="324"/>
      <c r="I734" s="324"/>
      <c r="J734" s="324"/>
      <c r="K734" s="324"/>
      <c r="L734" s="273"/>
      <c r="M734" s="273"/>
      <c r="N734" s="204"/>
      <c r="O734" s="204"/>
      <c r="P734" s="203"/>
      <c r="Q734" s="203"/>
      <c r="R734" s="203"/>
      <c r="S734" s="203"/>
      <c r="T734" s="203"/>
      <c r="V734" s="530"/>
      <c r="W734" s="530"/>
      <c r="X734" s="530"/>
      <c r="Y734" s="530"/>
      <c r="Z734" s="530"/>
      <c r="AA734" s="530"/>
      <c r="AD734" s="240"/>
    </row>
    <row r="735" spans="1:30" ht="24" customHeight="1">
      <c r="A735" s="320" t="s">
        <v>445</v>
      </c>
      <c r="B735" s="321"/>
      <c r="C735" s="321"/>
      <c r="D735" s="320" t="s">
        <v>1117</v>
      </c>
      <c r="E735" s="321"/>
      <c r="F735" s="321"/>
      <c r="G735" s="321"/>
      <c r="H735" s="321"/>
      <c r="I735" s="321"/>
      <c r="J735" s="321"/>
      <c r="K735" s="321"/>
      <c r="L735" s="264">
        <v>37958</v>
      </c>
      <c r="M735" s="264">
        <v>0</v>
      </c>
      <c r="N735" s="189">
        <v>0</v>
      </c>
      <c r="O735" s="189">
        <v>0</v>
      </c>
      <c r="P735" s="188">
        <v>0</v>
      </c>
      <c r="Q735" s="188">
        <v>0</v>
      </c>
      <c r="R735" s="188">
        <v>0</v>
      </c>
      <c r="S735" s="188">
        <v>0</v>
      </c>
      <c r="T735" s="188">
        <v>0</v>
      </c>
      <c r="V735" s="530"/>
      <c r="W735" s="530"/>
      <c r="X735" s="530"/>
      <c r="Y735" s="530"/>
      <c r="Z735" s="530"/>
      <c r="AA735" s="530"/>
      <c r="AD735" s="240"/>
    </row>
    <row r="736" spans="1:30" ht="24" customHeight="1">
      <c r="A736" s="320" t="s">
        <v>446</v>
      </c>
      <c r="B736" s="321"/>
      <c r="C736" s="321"/>
      <c r="D736" s="320" t="s">
        <v>1194</v>
      </c>
      <c r="E736" s="321"/>
      <c r="F736" s="321"/>
      <c r="G736" s="321"/>
      <c r="H736" s="321"/>
      <c r="I736" s="321"/>
      <c r="J736" s="321"/>
      <c r="K736" s="321"/>
      <c r="L736" s="266">
        <v>1021</v>
      </c>
      <c r="M736" s="266">
        <v>0</v>
      </c>
      <c r="N736" s="189">
        <v>0</v>
      </c>
      <c r="O736" s="189">
        <v>0</v>
      </c>
      <c r="P736" s="188">
        <v>0</v>
      </c>
      <c r="Q736" s="188">
        <v>0</v>
      </c>
      <c r="R736" s="188">
        <v>0</v>
      </c>
      <c r="S736" s="188">
        <v>0</v>
      </c>
      <c r="T736" s="188">
        <v>0</v>
      </c>
      <c r="V736" s="530"/>
      <c r="W736" s="530"/>
      <c r="X736" s="530"/>
      <c r="Y736" s="530"/>
      <c r="Z736" s="530"/>
      <c r="AA736" s="530"/>
      <c r="AD736" s="240"/>
    </row>
    <row r="737" spans="1:30" ht="24" customHeight="1">
      <c r="A737" s="324" t="s">
        <v>447</v>
      </c>
      <c r="B737" s="324"/>
      <c r="C737" s="324"/>
      <c r="D737" s="324"/>
      <c r="E737" s="324"/>
      <c r="F737" s="324"/>
      <c r="G737" s="324"/>
      <c r="H737" s="324"/>
      <c r="I737" s="324"/>
      <c r="J737" s="324"/>
      <c r="K737" s="324"/>
      <c r="L737" s="273"/>
      <c r="M737" s="273"/>
      <c r="N737" s="204"/>
      <c r="O737" s="204"/>
      <c r="P737" s="203"/>
      <c r="Q737" s="203"/>
      <c r="R737" s="203"/>
      <c r="S737" s="203"/>
      <c r="T737" s="203"/>
      <c r="V737" s="530"/>
      <c r="W737" s="530"/>
      <c r="X737" s="530"/>
      <c r="Y737" s="530"/>
      <c r="Z737" s="530"/>
      <c r="AA737" s="530"/>
      <c r="AD737" s="240"/>
    </row>
    <row r="738" spans="1:30" ht="24" customHeight="1">
      <c r="A738" s="320" t="s">
        <v>448</v>
      </c>
      <c r="B738" s="321"/>
      <c r="C738" s="321"/>
      <c r="D738" s="320" t="s">
        <v>1117</v>
      </c>
      <c r="E738" s="321"/>
      <c r="F738" s="321"/>
      <c r="G738" s="321"/>
      <c r="H738" s="321"/>
      <c r="I738" s="321"/>
      <c r="J738" s="321"/>
      <c r="K738" s="321"/>
      <c r="L738" s="264">
        <v>88610</v>
      </c>
      <c r="M738" s="264">
        <v>90952</v>
      </c>
      <c r="N738" s="189">
        <v>93355</v>
      </c>
      <c r="O738" s="189">
        <v>93355</v>
      </c>
      <c r="P738" s="188">
        <v>95821</v>
      </c>
      <c r="Q738" s="188">
        <v>98353</v>
      </c>
      <c r="R738" s="188">
        <v>100952</v>
      </c>
      <c r="S738" s="188">
        <v>103619</v>
      </c>
      <c r="T738" s="188">
        <v>52832</v>
      </c>
      <c r="V738" s="530"/>
      <c r="W738" s="530"/>
      <c r="X738" s="530"/>
      <c r="Y738" s="530"/>
      <c r="Z738" s="530"/>
      <c r="AA738" s="530"/>
      <c r="AD738" s="240"/>
    </row>
    <row r="739" spans="1:30" ht="24" customHeight="1">
      <c r="A739" s="320" t="s">
        <v>449</v>
      </c>
      <c r="B739" s="321"/>
      <c r="C739" s="321"/>
      <c r="D739" s="320" t="s">
        <v>1194</v>
      </c>
      <c r="E739" s="321"/>
      <c r="F739" s="321"/>
      <c r="G739" s="321"/>
      <c r="H739" s="321"/>
      <c r="I739" s="321"/>
      <c r="J739" s="321"/>
      <c r="K739" s="321"/>
      <c r="L739" s="266">
        <v>18440</v>
      </c>
      <c r="M739" s="266">
        <v>16099</v>
      </c>
      <c r="N739" s="189">
        <v>13696</v>
      </c>
      <c r="O739" s="189">
        <v>13696</v>
      </c>
      <c r="P739" s="188">
        <v>11229</v>
      </c>
      <c r="Q739" s="188">
        <v>8697</v>
      </c>
      <c r="R739" s="188">
        <v>6099</v>
      </c>
      <c r="S739" s="188">
        <v>3431</v>
      </c>
      <c r="T739" s="188">
        <v>693</v>
      </c>
      <c r="V739" s="530"/>
      <c r="W739" s="530"/>
      <c r="X739" s="530"/>
      <c r="Y739" s="530"/>
      <c r="Z739" s="530"/>
      <c r="AA739" s="530"/>
      <c r="AD739" s="240"/>
    </row>
    <row r="740" spans="1:30" ht="24" customHeight="1">
      <c r="A740" s="320" t="s">
        <v>974</v>
      </c>
      <c r="B740" s="321"/>
      <c r="C740" s="321"/>
      <c r="D740" s="320" t="s">
        <v>222</v>
      </c>
      <c r="E740" s="321"/>
      <c r="F740" s="321"/>
      <c r="G740" s="321"/>
      <c r="H740" s="321"/>
      <c r="I740" s="321"/>
      <c r="J740" s="321"/>
      <c r="K740" s="321"/>
      <c r="L740" s="282">
        <v>82288</v>
      </c>
      <c r="M740" s="282">
        <v>82988</v>
      </c>
      <c r="N740" s="219">
        <v>83588</v>
      </c>
      <c r="O740" s="219">
        <v>83588</v>
      </c>
      <c r="P740" s="218">
        <f>ROUND((P646+P647+P652+P653)/2,0)</f>
        <v>76275</v>
      </c>
      <c r="Q740" s="218">
        <f>ROUND((Q646+Q647+Q652+Q653)/2,0)</f>
        <v>75075</v>
      </c>
      <c r="R740" s="218">
        <f>ROUND((R646+R647+R652+R653)/2,0)</f>
        <v>73875</v>
      </c>
      <c r="S740" s="218">
        <f>ROUND((S646+S647+S652+S653)/2,0)</f>
        <v>77675</v>
      </c>
      <c r="T740" s="218">
        <f>ROUND((T646+T647+T652+T653)/2,0)</f>
        <v>73875</v>
      </c>
      <c r="V740" s="190"/>
    </row>
    <row r="741" spans="1:30" ht="15" customHeight="1">
      <c r="A741" s="320"/>
      <c r="B741" s="255"/>
      <c r="C741" s="255"/>
      <c r="D741" s="320"/>
      <c r="E741" s="255"/>
      <c r="F741" s="255"/>
      <c r="G741" s="255"/>
      <c r="H741" s="255"/>
      <c r="I741" s="255"/>
      <c r="J741" s="255"/>
      <c r="K741" s="255"/>
      <c r="L741" s="271"/>
      <c r="M741" s="271"/>
      <c r="N741" s="204"/>
      <c r="O741" s="204"/>
      <c r="P741" s="203"/>
      <c r="Q741" s="203"/>
      <c r="R741" s="203"/>
      <c r="S741" s="203"/>
      <c r="T741" s="203"/>
    </row>
    <row r="742" spans="1:30" s="255" customFormat="1" ht="24" customHeight="1">
      <c r="K742" s="324" t="s">
        <v>600</v>
      </c>
      <c r="L742" s="273">
        <f t="shared" ref="L742:T742" si="207">SUM(L684:L740)</f>
        <v>1660200</v>
      </c>
      <c r="M742" s="273">
        <f t="shared" si="207"/>
        <v>2503777</v>
      </c>
      <c r="N742" s="274">
        <f t="shared" si="207"/>
        <v>3217226</v>
      </c>
      <c r="O742" s="274">
        <f t="shared" ref="O742" si="208">SUM(O684:O740)</f>
        <v>3479120</v>
      </c>
      <c r="P742" s="273">
        <f t="shared" si="207"/>
        <v>2941087</v>
      </c>
      <c r="Q742" s="273">
        <f t="shared" si="207"/>
        <v>2962241</v>
      </c>
      <c r="R742" s="273">
        <f t="shared" si="207"/>
        <v>2996682</v>
      </c>
      <c r="S742" s="273">
        <f t="shared" si="207"/>
        <v>3029503</v>
      </c>
      <c r="T742" s="273">
        <f t="shared" si="207"/>
        <v>2515774</v>
      </c>
      <c r="U742" s="542"/>
    </row>
    <row r="743" spans="1:30" s="255" customFormat="1" ht="15" customHeight="1">
      <c r="L743" s="290"/>
      <c r="M743" s="290"/>
      <c r="N743" s="291"/>
      <c r="O743" s="291"/>
      <c r="P743" s="290"/>
      <c r="Q743" s="290"/>
      <c r="R743" s="290"/>
      <c r="S743" s="290"/>
      <c r="T743" s="290"/>
      <c r="U743" s="542"/>
    </row>
    <row r="744" spans="1:30" s="255" customFormat="1" ht="24" customHeight="1">
      <c r="K744" s="324" t="s">
        <v>599</v>
      </c>
      <c r="L744" s="290">
        <f t="shared" ref="L744:T744" si="209">L681-L742</f>
        <v>-10205</v>
      </c>
      <c r="M744" s="290">
        <f t="shared" si="209"/>
        <v>-114164</v>
      </c>
      <c r="N744" s="291">
        <f t="shared" si="209"/>
        <v>-831754</v>
      </c>
      <c r="O744" s="291">
        <f t="shared" si="209"/>
        <v>-1085544</v>
      </c>
      <c r="P744" s="290">
        <f t="shared" si="209"/>
        <v>-424733</v>
      </c>
      <c r="Q744" s="290">
        <f t="shared" si="209"/>
        <v>-422549</v>
      </c>
      <c r="R744" s="290">
        <f t="shared" si="209"/>
        <v>-429096</v>
      </c>
      <c r="S744" s="290">
        <f t="shared" si="209"/>
        <v>-439681</v>
      </c>
      <c r="T744" s="290">
        <f t="shared" si="209"/>
        <v>100676</v>
      </c>
      <c r="U744" s="542"/>
    </row>
    <row r="745" spans="1:30" s="255" customFormat="1" ht="15" customHeight="1">
      <c r="L745" s="290"/>
      <c r="M745" s="290"/>
      <c r="N745" s="291"/>
      <c r="O745" s="291"/>
      <c r="P745" s="290"/>
      <c r="Q745" s="290"/>
      <c r="R745" s="290"/>
      <c r="S745" s="290"/>
      <c r="T745" s="290"/>
      <c r="U745" s="542"/>
    </row>
    <row r="746" spans="1:30" s="255" customFormat="1" ht="24" customHeight="1">
      <c r="J746" s="329" t="s">
        <v>610</v>
      </c>
      <c r="L746" s="290">
        <v>2993332</v>
      </c>
      <c r="M746" s="290">
        <v>2879170</v>
      </c>
      <c r="N746" s="291">
        <v>1959540</v>
      </c>
      <c r="O746" s="291">
        <f>M746+O744</f>
        <v>1793626</v>
      </c>
      <c r="P746" s="290">
        <f>O746+P744</f>
        <v>1368893</v>
      </c>
      <c r="Q746" s="290">
        <f>P746+Q744</f>
        <v>946344</v>
      </c>
      <c r="R746" s="290">
        <f>Q746+R744</f>
        <v>517248</v>
      </c>
      <c r="S746" s="290">
        <f>R746+S744</f>
        <v>77567</v>
      </c>
      <c r="T746" s="290">
        <f>S746+T744</f>
        <v>178243</v>
      </c>
      <c r="U746" s="542"/>
    </row>
    <row r="747" spans="1:30" s="333" customFormat="1" ht="24" customHeight="1">
      <c r="L747" s="292">
        <f t="shared" ref="L747" si="210">L746/L742</f>
        <v>1.8029948199012167</v>
      </c>
      <c r="M747" s="292">
        <f t="shared" ref="M747:T747" si="211">M746/M742</f>
        <v>1.1499306847215227</v>
      </c>
      <c r="N747" s="293">
        <f t="shared" ref="N747:O747" si="212">N746/N742</f>
        <v>0.60907750963096785</v>
      </c>
      <c r="O747" s="293">
        <f t="shared" si="212"/>
        <v>0.51554013658626319</v>
      </c>
      <c r="P747" s="292">
        <f t="shared" si="211"/>
        <v>0.46543777861722552</v>
      </c>
      <c r="Q747" s="292">
        <f t="shared" si="211"/>
        <v>0.31946894260122655</v>
      </c>
      <c r="R747" s="292">
        <f t="shared" si="211"/>
        <v>0.17260690323497788</v>
      </c>
      <c r="S747" s="292">
        <f t="shared" ref="S747" si="213">S746/S742</f>
        <v>2.5603869677633593E-2</v>
      </c>
      <c r="T747" s="292">
        <f t="shared" si="211"/>
        <v>7.0850163806446848E-2</v>
      </c>
      <c r="U747" s="399"/>
    </row>
    <row r="748" spans="1:30" s="330" customFormat="1" ht="15" customHeight="1">
      <c r="A748" s="608"/>
      <c r="B748" s="608"/>
      <c r="C748" s="608"/>
      <c r="D748" s="608"/>
      <c r="E748" s="608"/>
      <c r="F748" s="608"/>
      <c r="G748" s="608"/>
      <c r="H748" s="608"/>
      <c r="I748" s="608"/>
      <c r="J748" s="608"/>
      <c r="K748" s="329"/>
      <c r="L748" s="469"/>
      <c r="M748" s="469"/>
      <c r="N748" s="474"/>
      <c r="O748" s="474"/>
      <c r="P748" s="475"/>
      <c r="Q748" s="475"/>
      <c r="R748" s="475"/>
      <c r="S748" s="475"/>
      <c r="T748" s="475"/>
      <c r="U748" s="251"/>
      <c r="V748" s="253"/>
      <c r="W748" s="253"/>
      <c r="X748" s="253"/>
      <c r="Y748" s="253"/>
      <c r="Z748" s="253"/>
      <c r="AA748" s="253"/>
    </row>
    <row r="749" spans="1:30" ht="15" customHeight="1">
      <c r="A749" s="255"/>
      <c r="B749" s="255"/>
      <c r="C749" s="255"/>
      <c r="D749" s="255"/>
      <c r="E749" s="255"/>
      <c r="F749" s="255"/>
      <c r="G749" s="255"/>
      <c r="H749" s="255"/>
      <c r="I749" s="255"/>
      <c r="J749" s="255"/>
      <c r="K749" s="255"/>
      <c r="L749" s="468"/>
      <c r="M749" s="468"/>
      <c r="N749" s="472"/>
      <c r="O749" s="472"/>
      <c r="P749" s="473"/>
      <c r="Q749" s="473"/>
      <c r="R749" s="473"/>
      <c r="S749" s="473"/>
      <c r="T749" s="473"/>
    </row>
    <row r="750" spans="1:30" ht="24" customHeight="1">
      <c r="A750" s="331" t="s">
        <v>618</v>
      </c>
      <c r="B750" s="255"/>
      <c r="C750" s="255"/>
      <c r="D750" s="255"/>
      <c r="E750" s="255"/>
      <c r="F750" s="255"/>
      <c r="G750" s="255"/>
      <c r="H750" s="255"/>
      <c r="I750" s="255"/>
      <c r="J750" s="255"/>
      <c r="K750" s="255"/>
      <c r="L750" s="318"/>
      <c r="M750" s="318"/>
      <c r="N750" s="466"/>
      <c r="O750" s="466"/>
      <c r="P750" s="467"/>
      <c r="Q750" s="467"/>
      <c r="R750" s="467"/>
      <c r="S750" s="467"/>
      <c r="T750" s="467"/>
    </row>
    <row r="751" spans="1:30" ht="15" customHeight="1">
      <c r="A751" s="255"/>
      <c r="B751" s="255"/>
      <c r="C751" s="255"/>
      <c r="D751" s="255"/>
      <c r="E751" s="255"/>
      <c r="F751" s="255"/>
      <c r="G751" s="255"/>
      <c r="H751" s="255"/>
      <c r="I751" s="255"/>
      <c r="J751" s="255"/>
      <c r="K751" s="255"/>
      <c r="L751" s="318"/>
      <c r="M751" s="318"/>
      <c r="N751" s="466"/>
      <c r="O751" s="466"/>
      <c r="P751" s="467"/>
      <c r="Q751" s="467"/>
      <c r="R751" s="467"/>
      <c r="S751" s="467"/>
      <c r="T751" s="467"/>
    </row>
    <row r="752" spans="1:30" ht="24" customHeight="1">
      <c r="A752" s="320" t="s">
        <v>736</v>
      </c>
      <c r="B752" s="321"/>
      <c r="C752" s="321"/>
      <c r="D752" s="340" t="s">
        <v>759</v>
      </c>
      <c r="E752" s="321"/>
      <c r="F752" s="321"/>
      <c r="G752" s="321"/>
      <c r="H752" s="321"/>
      <c r="I752" s="321"/>
      <c r="J752" s="321"/>
      <c r="K752" s="321"/>
      <c r="L752" s="265">
        <v>400000</v>
      </c>
      <c r="M752" s="265">
        <v>0</v>
      </c>
      <c r="N752" s="195">
        <v>0</v>
      </c>
      <c r="O752" s="195">
        <v>0</v>
      </c>
      <c r="P752" s="192">
        <v>0</v>
      </c>
      <c r="Q752" s="192">
        <v>0</v>
      </c>
      <c r="R752" s="192">
        <v>0</v>
      </c>
      <c r="S752" s="192">
        <v>0</v>
      </c>
      <c r="T752" s="192">
        <v>0</v>
      </c>
    </row>
    <row r="753" spans="1:22" ht="24" customHeight="1">
      <c r="A753" s="320" t="s">
        <v>737</v>
      </c>
      <c r="B753" s="321"/>
      <c r="C753" s="321"/>
      <c r="D753" s="340" t="s">
        <v>1009</v>
      </c>
      <c r="E753" s="321"/>
      <c r="F753" s="321"/>
      <c r="G753" s="321"/>
      <c r="H753" s="321"/>
      <c r="I753" s="321"/>
      <c r="J753" s="321"/>
      <c r="K753" s="321"/>
      <c r="L753" s="265">
        <v>0</v>
      </c>
      <c r="M753" s="265">
        <v>31286</v>
      </c>
      <c r="N753" s="195">
        <v>0</v>
      </c>
      <c r="O753" s="195">
        <v>40144</v>
      </c>
      <c r="P753" s="192">
        <v>0</v>
      </c>
      <c r="Q753" s="192">
        <v>0</v>
      </c>
      <c r="R753" s="192">
        <v>0</v>
      </c>
      <c r="S753" s="192">
        <v>0</v>
      </c>
      <c r="T753" s="192">
        <v>0</v>
      </c>
      <c r="V753" s="187"/>
    </row>
    <row r="754" spans="1:22" ht="24" customHeight="1">
      <c r="A754" s="320" t="s">
        <v>738</v>
      </c>
      <c r="B754" s="321"/>
      <c r="C754" s="321"/>
      <c r="D754" s="340" t="s">
        <v>1397</v>
      </c>
      <c r="E754" s="533"/>
      <c r="F754" s="533"/>
      <c r="G754" s="533"/>
      <c r="H754" s="533"/>
      <c r="I754" s="533"/>
      <c r="J754" s="533"/>
      <c r="K754" s="533"/>
      <c r="L754" s="265">
        <v>0</v>
      </c>
      <c r="M754" s="265">
        <v>0</v>
      </c>
      <c r="N754" s="195">
        <v>0</v>
      </c>
      <c r="O754" s="195">
        <v>0</v>
      </c>
      <c r="P754" s="192">
        <v>400000</v>
      </c>
      <c r="Q754" s="192">
        <v>0</v>
      </c>
      <c r="R754" s="192">
        <v>0</v>
      </c>
      <c r="S754" s="192">
        <v>0</v>
      </c>
      <c r="T754" s="192">
        <v>0</v>
      </c>
    </row>
    <row r="755" spans="1:22" ht="24" customHeight="1">
      <c r="A755" s="320" t="s">
        <v>1395</v>
      </c>
      <c r="B755" s="553"/>
      <c r="C755" s="553"/>
      <c r="D755" s="340" t="s">
        <v>1396</v>
      </c>
      <c r="E755" s="553"/>
      <c r="F755" s="553"/>
      <c r="G755" s="553"/>
      <c r="H755" s="553"/>
      <c r="I755" s="553"/>
      <c r="J755" s="553"/>
      <c r="K755" s="553"/>
      <c r="L755" s="265">
        <v>0</v>
      </c>
      <c r="M755" s="265">
        <v>0</v>
      </c>
      <c r="N755" s="195">
        <v>0</v>
      </c>
      <c r="O755" s="195">
        <v>0</v>
      </c>
      <c r="P755" s="192">
        <v>0</v>
      </c>
      <c r="Q755" s="192">
        <v>400000</v>
      </c>
      <c r="R755" s="192">
        <v>0</v>
      </c>
      <c r="S755" s="192">
        <v>0</v>
      </c>
      <c r="T755" s="192">
        <v>0</v>
      </c>
    </row>
    <row r="756" spans="1:22" ht="24" customHeight="1">
      <c r="A756" s="320" t="s">
        <v>1249</v>
      </c>
      <c r="B756" s="451"/>
      <c r="C756" s="451"/>
      <c r="D756" s="320" t="s">
        <v>987</v>
      </c>
      <c r="E756" s="451"/>
      <c r="F756" s="451"/>
      <c r="G756" s="451"/>
      <c r="H756" s="451"/>
      <c r="I756" s="451"/>
      <c r="J756" s="451"/>
      <c r="K756" s="451"/>
      <c r="L756" s="265">
        <v>0</v>
      </c>
      <c r="M756" s="265">
        <v>1733</v>
      </c>
      <c r="N756" s="195">
        <v>0</v>
      </c>
      <c r="O756" s="195">
        <v>0</v>
      </c>
      <c r="P756" s="192">
        <v>0</v>
      </c>
      <c r="Q756" s="192">
        <v>0</v>
      </c>
      <c r="R756" s="192">
        <v>0</v>
      </c>
      <c r="S756" s="192">
        <v>0</v>
      </c>
      <c r="T756" s="192">
        <v>0</v>
      </c>
    </row>
    <row r="757" spans="1:22" ht="24" customHeight="1">
      <c r="A757" s="320" t="s">
        <v>1268</v>
      </c>
      <c r="B757" s="462"/>
      <c r="C757" s="462"/>
      <c r="D757" s="746" t="s">
        <v>6</v>
      </c>
      <c r="E757" s="746"/>
      <c r="F757" s="746"/>
      <c r="G757" s="746"/>
      <c r="H757" s="746"/>
      <c r="I757" s="746"/>
      <c r="J757" s="746"/>
      <c r="K757" s="746"/>
      <c r="L757" s="265">
        <v>0</v>
      </c>
      <c r="M757" s="265">
        <v>4</v>
      </c>
      <c r="N757" s="195">
        <v>0</v>
      </c>
      <c r="O757" s="195">
        <v>0</v>
      </c>
      <c r="P757" s="192">
        <v>0</v>
      </c>
      <c r="Q757" s="192">
        <v>0</v>
      </c>
      <c r="R757" s="192">
        <v>0</v>
      </c>
      <c r="S757" s="192">
        <v>0</v>
      </c>
      <c r="T757" s="192">
        <v>0</v>
      </c>
    </row>
    <row r="758" spans="1:22" ht="24" customHeight="1">
      <c r="A758" s="320" t="s">
        <v>1382</v>
      </c>
      <c r="B758" s="548"/>
      <c r="C758" s="548"/>
      <c r="D758" s="629" t="s">
        <v>1383</v>
      </c>
      <c r="E758" s="629"/>
      <c r="F758" s="629"/>
      <c r="G758" s="629"/>
      <c r="H758" s="629"/>
      <c r="I758" s="629"/>
      <c r="J758" s="629"/>
      <c r="K758" s="629"/>
      <c r="L758" s="265">
        <v>0</v>
      </c>
      <c r="M758" s="265">
        <v>0</v>
      </c>
      <c r="N758" s="195">
        <v>0</v>
      </c>
      <c r="O758" s="195">
        <v>83311</v>
      </c>
      <c r="P758" s="192">
        <v>0</v>
      </c>
      <c r="Q758" s="192">
        <v>0</v>
      </c>
      <c r="R758" s="192">
        <v>0</v>
      </c>
      <c r="S758" s="192">
        <v>0</v>
      </c>
      <c r="T758" s="192">
        <v>0</v>
      </c>
    </row>
    <row r="759" spans="1:22" ht="24" customHeight="1">
      <c r="A759" s="549" t="s">
        <v>1384</v>
      </c>
      <c r="B759" s="549"/>
      <c r="C759" s="549"/>
      <c r="D759" s="549" t="s">
        <v>1385</v>
      </c>
      <c r="E759" s="549"/>
      <c r="F759" s="549"/>
      <c r="G759" s="549"/>
      <c r="H759" s="549"/>
      <c r="I759" s="549"/>
      <c r="J759" s="549"/>
      <c r="K759" s="549"/>
      <c r="L759" s="266">
        <v>0</v>
      </c>
      <c r="M759" s="266">
        <v>0</v>
      </c>
      <c r="N759" s="194">
        <v>0</v>
      </c>
      <c r="O759" s="194">
        <v>1406</v>
      </c>
      <c r="P759" s="193">
        <v>0</v>
      </c>
      <c r="Q759" s="193">
        <v>0</v>
      </c>
      <c r="R759" s="193">
        <v>0</v>
      </c>
      <c r="S759" s="193">
        <v>0</v>
      </c>
      <c r="T759" s="193">
        <v>0</v>
      </c>
    </row>
    <row r="760" spans="1:22" ht="24" customHeight="1">
      <c r="A760" s="255" t="s">
        <v>450</v>
      </c>
      <c r="B760" s="255"/>
      <c r="C760" s="255"/>
      <c r="D760" s="491" t="s">
        <v>451</v>
      </c>
      <c r="E760" s="491"/>
      <c r="F760" s="491"/>
      <c r="G760" s="491"/>
      <c r="H760" s="491"/>
      <c r="I760" s="491"/>
      <c r="J760" s="491"/>
      <c r="K760" s="491"/>
      <c r="L760" s="266">
        <v>66662</v>
      </c>
      <c r="M760" s="266">
        <v>42367</v>
      </c>
      <c r="N760" s="194">
        <v>20000</v>
      </c>
      <c r="O760" s="194">
        <v>30000</v>
      </c>
      <c r="P760" s="193">
        <v>30000</v>
      </c>
      <c r="Q760" s="193">
        <v>30000</v>
      </c>
      <c r="R760" s="193">
        <v>30000</v>
      </c>
      <c r="S760" s="193">
        <v>30000</v>
      </c>
      <c r="T760" s="193">
        <v>30000</v>
      </c>
    </row>
    <row r="761" spans="1:22" ht="24" customHeight="1">
      <c r="A761" s="255" t="s">
        <v>452</v>
      </c>
      <c r="B761" s="255"/>
      <c r="C761" s="255"/>
      <c r="D761" s="255" t="s">
        <v>453</v>
      </c>
      <c r="E761" s="255"/>
      <c r="F761" s="255"/>
      <c r="G761" s="255"/>
      <c r="H761" s="255"/>
      <c r="I761" s="255"/>
      <c r="J761" s="255"/>
      <c r="K761" s="255"/>
      <c r="L761" s="266">
        <v>568</v>
      </c>
      <c r="M761" s="266">
        <v>2841</v>
      </c>
      <c r="N761" s="194">
        <v>500</v>
      </c>
      <c r="O761" s="194">
        <v>5114</v>
      </c>
      <c r="P761" s="193">
        <v>500</v>
      </c>
      <c r="Q761" s="193">
        <v>500</v>
      </c>
      <c r="R761" s="193">
        <v>500</v>
      </c>
      <c r="S761" s="193">
        <v>500</v>
      </c>
      <c r="T761" s="193">
        <v>500</v>
      </c>
    </row>
    <row r="762" spans="1:22" ht="24" customHeight="1">
      <c r="A762" s="255" t="s">
        <v>454</v>
      </c>
      <c r="B762" s="255"/>
      <c r="C762" s="255"/>
      <c r="D762" s="255" t="s">
        <v>455</v>
      </c>
      <c r="E762" s="255"/>
      <c r="F762" s="255"/>
      <c r="G762" s="255"/>
      <c r="H762" s="255"/>
      <c r="I762" s="255"/>
      <c r="J762" s="255"/>
      <c r="K762" s="255"/>
      <c r="L762" s="265">
        <v>0</v>
      </c>
      <c r="M762" s="265">
        <v>0</v>
      </c>
      <c r="N762" s="195">
        <v>2500</v>
      </c>
      <c r="O762" s="195">
        <v>0</v>
      </c>
      <c r="P762" s="192">
        <v>0</v>
      </c>
      <c r="Q762" s="192">
        <v>0</v>
      </c>
      <c r="R762" s="192">
        <v>0</v>
      </c>
      <c r="S762" s="192">
        <v>0</v>
      </c>
      <c r="T762" s="192">
        <v>0</v>
      </c>
    </row>
    <row r="763" spans="1:22" ht="24" customHeight="1">
      <c r="A763" s="255" t="s">
        <v>1069</v>
      </c>
      <c r="B763" s="255"/>
      <c r="C763" s="255"/>
      <c r="D763" s="255" t="s">
        <v>1070</v>
      </c>
      <c r="E763" s="255"/>
      <c r="F763" s="255"/>
      <c r="G763" s="255"/>
      <c r="H763" s="255"/>
      <c r="I763" s="255"/>
      <c r="J763" s="255"/>
      <c r="K763" s="255"/>
      <c r="L763" s="265">
        <v>1538</v>
      </c>
      <c r="M763" s="265">
        <v>0</v>
      </c>
      <c r="N763" s="195">
        <v>0</v>
      </c>
      <c r="O763" s="195">
        <v>0</v>
      </c>
      <c r="P763" s="192">
        <v>0</v>
      </c>
      <c r="Q763" s="192">
        <v>0</v>
      </c>
      <c r="R763" s="192">
        <v>0</v>
      </c>
      <c r="S763" s="192">
        <v>0</v>
      </c>
      <c r="T763" s="192">
        <v>0</v>
      </c>
    </row>
    <row r="764" spans="1:22" ht="24" customHeight="1">
      <c r="A764" s="463" t="s">
        <v>1269</v>
      </c>
      <c r="B764" s="463"/>
      <c r="C764" s="463"/>
      <c r="D764" s="463" t="s">
        <v>1270</v>
      </c>
      <c r="E764" s="463"/>
      <c r="F764" s="463"/>
      <c r="G764" s="463"/>
      <c r="H764" s="463"/>
      <c r="I764" s="463"/>
      <c r="J764" s="463"/>
      <c r="K764" s="463"/>
      <c r="L764" s="265">
        <v>0</v>
      </c>
      <c r="M764" s="265">
        <v>9371</v>
      </c>
      <c r="N764" s="195">
        <v>0</v>
      </c>
      <c r="O764" s="195">
        <v>1885</v>
      </c>
      <c r="P764" s="192">
        <v>0</v>
      </c>
      <c r="Q764" s="192">
        <v>0</v>
      </c>
      <c r="R764" s="192">
        <v>0</v>
      </c>
      <c r="S764" s="192">
        <v>0</v>
      </c>
      <c r="T764" s="192">
        <v>0</v>
      </c>
    </row>
    <row r="765" spans="1:22" ht="24" customHeight="1">
      <c r="A765" s="255" t="s">
        <v>1040</v>
      </c>
      <c r="B765" s="255"/>
      <c r="C765" s="255"/>
      <c r="D765" s="255" t="s">
        <v>1041</v>
      </c>
      <c r="E765" s="255"/>
      <c r="F765" s="255"/>
      <c r="G765" s="255"/>
      <c r="H765" s="255"/>
      <c r="I765" s="255"/>
      <c r="J765" s="255"/>
      <c r="K765" s="255"/>
      <c r="L765" s="270">
        <v>0</v>
      </c>
      <c r="M765" s="270">
        <v>50000</v>
      </c>
      <c r="N765" s="202">
        <v>50000</v>
      </c>
      <c r="O765" s="202">
        <v>0</v>
      </c>
      <c r="P765" s="201">
        <v>0</v>
      </c>
      <c r="Q765" s="201">
        <v>0</v>
      </c>
      <c r="R765" s="201">
        <v>0</v>
      </c>
      <c r="S765" s="201">
        <v>0</v>
      </c>
      <c r="T765" s="201">
        <v>0</v>
      </c>
      <c r="V765" s="190"/>
    </row>
    <row r="766" spans="1:22" ht="15" customHeight="1">
      <c r="A766" s="255"/>
      <c r="B766" s="255"/>
      <c r="C766" s="255"/>
      <c r="D766" s="255"/>
      <c r="E766" s="255"/>
      <c r="F766" s="255"/>
      <c r="G766" s="255"/>
      <c r="H766" s="255"/>
      <c r="I766" s="255"/>
      <c r="J766" s="255"/>
      <c r="K766" s="255"/>
      <c r="L766" s="271"/>
      <c r="M766" s="271"/>
      <c r="N766" s="204"/>
      <c r="O766" s="204"/>
      <c r="P766" s="203"/>
      <c r="Q766" s="203"/>
      <c r="R766" s="203"/>
      <c r="S766" s="203"/>
      <c r="T766" s="203"/>
    </row>
    <row r="767" spans="1:22" s="255" customFormat="1" ht="24" customHeight="1">
      <c r="K767" s="324" t="s">
        <v>595</v>
      </c>
      <c r="L767" s="273">
        <f t="shared" ref="L767:T767" si="214">SUM(L752:L766)</f>
        <v>468768</v>
      </c>
      <c r="M767" s="273">
        <f t="shared" si="214"/>
        <v>137602</v>
      </c>
      <c r="N767" s="274">
        <f t="shared" si="214"/>
        <v>73000</v>
      </c>
      <c r="O767" s="274">
        <f t="shared" si="214"/>
        <v>161860</v>
      </c>
      <c r="P767" s="273">
        <f t="shared" si="214"/>
        <v>430500</v>
      </c>
      <c r="Q767" s="273">
        <f t="shared" si="214"/>
        <v>430500</v>
      </c>
      <c r="R767" s="273">
        <f t="shared" si="214"/>
        <v>30500</v>
      </c>
      <c r="S767" s="273">
        <f t="shared" si="214"/>
        <v>30500</v>
      </c>
      <c r="T767" s="273">
        <f t="shared" si="214"/>
        <v>30500</v>
      </c>
      <c r="U767" s="542"/>
    </row>
    <row r="768" spans="1:22" ht="15" customHeight="1">
      <c r="A768" s="255"/>
      <c r="B768" s="255"/>
      <c r="C768" s="255"/>
      <c r="D768" s="255"/>
      <c r="E768" s="255"/>
      <c r="F768" s="255"/>
      <c r="G768" s="255"/>
      <c r="H768" s="255"/>
      <c r="I768" s="255"/>
      <c r="J768" s="255"/>
      <c r="K768" s="255"/>
      <c r="L768" s="271"/>
      <c r="M768" s="271"/>
      <c r="N768" s="204"/>
      <c r="O768" s="204"/>
      <c r="P768" s="203"/>
      <c r="Q768" s="203"/>
      <c r="R768" s="203"/>
      <c r="S768" s="203"/>
      <c r="T768" s="203"/>
    </row>
    <row r="769" spans="1:22" ht="24" customHeight="1">
      <c r="A769" s="320" t="s">
        <v>1252</v>
      </c>
      <c r="B769" s="452"/>
      <c r="C769" s="452"/>
      <c r="D769" s="452" t="s">
        <v>957</v>
      </c>
      <c r="E769" s="452"/>
      <c r="F769" s="452"/>
      <c r="G769" s="451"/>
      <c r="H769" s="451"/>
      <c r="I769" s="451"/>
      <c r="J769" s="451"/>
      <c r="K769" s="451"/>
      <c r="L769" s="262">
        <v>0</v>
      </c>
      <c r="M769" s="262">
        <v>1733</v>
      </c>
      <c r="N769" s="186">
        <v>0</v>
      </c>
      <c r="O769" s="186">
        <v>0</v>
      </c>
      <c r="P769" s="185">
        <v>0</v>
      </c>
      <c r="Q769" s="185">
        <v>0</v>
      </c>
      <c r="R769" s="185">
        <v>0</v>
      </c>
      <c r="S769" s="185">
        <v>0</v>
      </c>
      <c r="T769" s="185">
        <v>0</v>
      </c>
      <c r="V769" s="187"/>
    </row>
    <row r="770" spans="1:22" ht="24" customHeight="1">
      <c r="A770" s="320" t="s">
        <v>1234</v>
      </c>
      <c r="B770" s="432"/>
      <c r="C770" s="432"/>
      <c r="D770" s="320" t="s">
        <v>1235</v>
      </c>
      <c r="E770" s="432"/>
      <c r="F770" s="432"/>
      <c r="G770" s="432"/>
      <c r="H770" s="432"/>
      <c r="I770" s="432"/>
      <c r="J770" s="432"/>
      <c r="K770" s="432"/>
      <c r="L770" s="265">
        <v>0</v>
      </c>
      <c r="M770" s="265">
        <v>16897</v>
      </c>
      <c r="N770" s="195">
        <v>0</v>
      </c>
      <c r="O770" s="195">
        <v>0</v>
      </c>
      <c r="P770" s="192">
        <v>0</v>
      </c>
      <c r="Q770" s="192">
        <v>0</v>
      </c>
      <c r="R770" s="192">
        <v>0</v>
      </c>
      <c r="S770" s="192">
        <v>0</v>
      </c>
      <c r="T770" s="192">
        <v>0</v>
      </c>
    </row>
    <row r="771" spans="1:22" ht="24" customHeight="1">
      <c r="A771" s="320" t="s">
        <v>456</v>
      </c>
      <c r="B771" s="321"/>
      <c r="C771" s="321"/>
      <c r="D771" s="320" t="s">
        <v>1338</v>
      </c>
      <c r="E771" s="321"/>
      <c r="F771" s="321"/>
      <c r="G771" s="321"/>
      <c r="H771" s="321"/>
      <c r="I771" s="321"/>
      <c r="J771" s="321"/>
      <c r="K771" s="321"/>
      <c r="L771" s="265">
        <v>12000</v>
      </c>
      <c r="M771" s="265">
        <v>12000</v>
      </c>
      <c r="N771" s="195">
        <v>13000</v>
      </c>
      <c r="O771" s="195">
        <v>13000</v>
      </c>
      <c r="P771" s="192">
        <v>13000</v>
      </c>
      <c r="Q771" s="192">
        <v>0</v>
      </c>
      <c r="R771" s="192">
        <v>0</v>
      </c>
      <c r="S771" s="192">
        <v>0</v>
      </c>
      <c r="T771" s="192">
        <v>0</v>
      </c>
    </row>
    <row r="772" spans="1:22" ht="24" customHeight="1">
      <c r="A772" s="320" t="s">
        <v>457</v>
      </c>
      <c r="B772" s="321"/>
      <c r="C772" s="321"/>
      <c r="D772" s="320" t="s">
        <v>458</v>
      </c>
      <c r="E772" s="321"/>
      <c r="F772" s="321"/>
      <c r="G772" s="321"/>
      <c r="H772" s="321"/>
      <c r="I772" s="321"/>
      <c r="J772" s="321"/>
      <c r="K772" s="321"/>
      <c r="L772" s="265">
        <v>40570</v>
      </c>
      <c r="M772" s="265">
        <v>0</v>
      </c>
      <c r="N772" s="195">
        <v>0</v>
      </c>
      <c r="O772" s="195">
        <v>0</v>
      </c>
      <c r="P772" s="192">
        <v>0</v>
      </c>
      <c r="Q772" s="192">
        <v>0</v>
      </c>
      <c r="R772" s="192">
        <v>0</v>
      </c>
      <c r="S772" s="192">
        <v>0</v>
      </c>
      <c r="T772" s="192">
        <v>0</v>
      </c>
    </row>
    <row r="773" spans="1:22" ht="24" customHeight="1">
      <c r="A773" s="320" t="s">
        <v>1346</v>
      </c>
      <c r="B773" s="520"/>
      <c r="C773" s="520"/>
      <c r="D773" s="320" t="s">
        <v>1347</v>
      </c>
      <c r="E773" s="695"/>
      <c r="F773" s="695"/>
      <c r="G773" s="695"/>
      <c r="H773" s="695"/>
      <c r="I773" s="695"/>
      <c r="J773" s="695"/>
      <c r="K773" s="695"/>
      <c r="L773" s="265">
        <v>0</v>
      </c>
      <c r="M773" s="265">
        <v>3406</v>
      </c>
      <c r="N773" s="195">
        <v>0</v>
      </c>
      <c r="O773" s="195">
        <f>2650+1800+2718</f>
        <v>7168</v>
      </c>
      <c r="P773" s="192">
        <f>300000-O773</f>
        <v>292832</v>
      </c>
      <c r="Q773" s="192">
        <v>100000</v>
      </c>
      <c r="R773" s="192">
        <v>0</v>
      </c>
      <c r="S773" s="192">
        <v>0</v>
      </c>
      <c r="T773" s="192">
        <v>0</v>
      </c>
    </row>
    <row r="774" spans="1:22" ht="24" customHeight="1">
      <c r="A774" s="320" t="s">
        <v>459</v>
      </c>
      <c r="B774" s="321"/>
      <c r="C774" s="321"/>
      <c r="D774" s="340" t="s">
        <v>1010</v>
      </c>
      <c r="E774" s="695"/>
      <c r="F774" s="695"/>
      <c r="G774" s="695"/>
      <c r="H774" s="695"/>
      <c r="I774" s="695"/>
      <c r="J774" s="695"/>
      <c r="K774" s="695"/>
      <c r="L774" s="265">
        <v>0</v>
      </c>
      <c r="M774" s="265">
        <v>31613</v>
      </c>
      <c r="N774" s="195">
        <v>0</v>
      </c>
      <c r="O774" s="195">
        <v>20661</v>
      </c>
      <c r="P774" s="192">
        <v>0</v>
      </c>
      <c r="Q774" s="192">
        <v>0</v>
      </c>
      <c r="R774" s="192">
        <v>0</v>
      </c>
      <c r="S774" s="192">
        <v>0</v>
      </c>
      <c r="T774" s="192">
        <v>0</v>
      </c>
      <c r="V774" s="187"/>
    </row>
    <row r="775" spans="1:22" ht="24" customHeight="1">
      <c r="A775" s="320" t="s">
        <v>460</v>
      </c>
      <c r="B775" s="321"/>
      <c r="C775" s="321"/>
      <c r="D775" s="320" t="s">
        <v>461</v>
      </c>
      <c r="E775" s="695"/>
      <c r="F775" s="695"/>
      <c r="G775" s="695"/>
      <c r="H775" s="695"/>
      <c r="I775" s="695"/>
      <c r="J775" s="695"/>
      <c r="K775" s="695"/>
      <c r="L775" s="265">
        <v>0</v>
      </c>
      <c r="M775" s="265">
        <v>4650</v>
      </c>
      <c r="N775" s="195">
        <v>200000</v>
      </c>
      <c r="O775" s="195">
        <v>200000</v>
      </c>
      <c r="P775" s="192">
        <v>200000</v>
      </c>
      <c r="Q775" s="192">
        <v>0</v>
      </c>
      <c r="R775" s="192">
        <v>0</v>
      </c>
      <c r="S775" s="192">
        <v>0</v>
      </c>
      <c r="T775" s="192">
        <v>0</v>
      </c>
    </row>
    <row r="776" spans="1:22" ht="24" customHeight="1">
      <c r="A776" s="320" t="s">
        <v>743</v>
      </c>
      <c r="B776" s="321"/>
      <c r="C776" s="321"/>
      <c r="D776" s="322" t="s">
        <v>741</v>
      </c>
      <c r="E776" s="695"/>
      <c r="F776" s="695"/>
      <c r="G776" s="695"/>
      <c r="H776" s="695"/>
      <c r="I776" s="695"/>
      <c r="J776" s="695"/>
      <c r="K776" s="695"/>
      <c r="L776" s="265">
        <v>0</v>
      </c>
      <c r="M776" s="265">
        <v>0</v>
      </c>
      <c r="N776" s="195">
        <v>0</v>
      </c>
      <c r="O776" s="195">
        <v>0</v>
      </c>
      <c r="P776" s="192">
        <v>50000</v>
      </c>
      <c r="Q776" s="192">
        <v>0</v>
      </c>
      <c r="R776" s="192">
        <v>0</v>
      </c>
      <c r="S776" s="192">
        <v>0</v>
      </c>
      <c r="T776" s="192">
        <v>0</v>
      </c>
      <c r="V776" s="187"/>
    </row>
    <row r="777" spans="1:22" ht="24" customHeight="1">
      <c r="A777" s="320" t="s">
        <v>744</v>
      </c>
      <c r="B777" s="321"/>
      <c r="C777" s="321"/>
      <c r="D777" s="322" t="s">
        <v>742</v>
      </c>
      <c r="E777" s="461"/>
      <c r="F777" s="461"/>
      <c r="G777" s="461"/>
      <c r="H777" s="461"/>
      <c r="I777" s="461"/>
      <c r="J777" s="461"/>
      <c r="K777" s="461"/>
      <c r="L777" s="265">
        <v>0</v>
      </c>
      <c r="M777" s="265">
        <v>738</v>
      </c>
      <c r="N777" s="195">
        <v>143850</v>
      </c>
      <c r="O777" s="195">
        <v>143850</v>
      </c>
      <c r="P777" s="192">
        <v>0</v>
      </c>
      <c r="Q777" s="192">
        <v>0</v>
      </c>
      <c r="R777" s="192">
        <v>0</v>
      </c>
      <c r="S777" s="192">
        <v>0</v>
      </c>
      <c r="T777" s="192">
        <v>0</v>
      </c>
      <c r="V777" s="187"/>
    </row>
    <row r="778" spans="1:22" ht="24" customHeight="1">
      <c r="A778" s="320" t="s">
        <v>1162</v>
      </c>
      <c r="B778" s="565"/>
      <c r="C778" s="565"/>
      <c r="D778" s="322" t="s">
        <v>1163</v>
      </c>
      <c r="E778" s="565"/>
      <c r="F778" s="565"/>
      <c r="G778" s="565"/>
      <c r="H778" s="565"/>
      <c r="I778" s="565"/>
      <c r="J778" s="565"/>
      <c r="K778" s="565"/>
      <c r="L778" s="265">
        <v>0</v>
      </c>
      <c r="M778" s="265">
        <v>0</v>
      </c>
      <c r="N778" s="195">
        <v>50000</v>
      </c>
      <c r="O778" s="195">
        <v>0</v>
      </c>
      <c r="P778" s="192">
        <v>0</v>
      </c>
      <c r="Q778" s="192">
        <v>0</v>
      </c>
      <c r="R778" s="192">
        <v>0</v>
      </c>
      <c r="S778" s="192">
        <v>0</v>
      </c>
      <c r="T778" s="192">
        <v>0</v>
      </c>
      <c r="V778" s="187"/>
    </row>
    <row r="779" spans="1:22" ht="24" customHeight="1">
      <c r="A779" s="320" t="s">
        <v>1437</v>
      </c>
      <c r="B779" s="321"/>
      <c r="C779" s="321"/>
      <c r="D779" s="322" t="s">
        <v>1436</v>
      </c>
      <c r="E779" s="634"/>
      <c r="F779" s="634"/>
      <c r="G779" s="634"/>
      <c r="H779" s="634"/>
      <c r="I779" s="634"/>
      <c r="J779" s="634"/>
      <c r="K779" s="634"/>
      <c r="L779" s="270">
        <v>0</v>
      </c>
      <c r="M779" s="270">
        <v>0</v>
      </c>
      <c r="N779" s="202">
        <v>0</v>
      </c>
      <c r="O779" s="202">
        <v>0</v>
      </c>
      <c r="P779" s="201">
        <v>25000</v>
      </c>
      <c r="Q779" s="201">
        <v>0</v>
      </c>
      <c r="R779" s="201">
        <v>0</v>
      </c>
      <c r="S779" s="201">
        <v>0</v>
      </c>
      <c r="T779" s="201">
        <v>0</v>
      </c>
      <c r="V779" s="187"/>
    </row>
    <row r="780" spans="1:22" ht="15" customHeight="1">
      <c r="A780" s="320"/>
      <c r="B780" s="255"/>
      <c r="C780" s="255"/>
      <c r="D780" s="255"/>
      <c r="E780" s="255"/>
      <c r="F780" s="255"/>
      <c r="G780" s="255"/>
      <c r="H780" s="255"/>
      <c r="I780" s="255"/>
      <c r="J780" s="255"/>
      <c r="K780" s="255"/>
      <c r="L780" s="271"/>
      <c r="M780" s="271"/>
      <c r="N780" s="204"/>
      <c r="O780" s="204"/>
      <c r="P780" s="203"/>
      <c r="Q780" s="203"/>
      <c r="R780" s="203"/>
      <c r="S780" s="203"/>
      <c r="T780" s="203"/>
    </row>
    <row r="781" spans="1:22" s="255" customFormat="1" ht="24" customHeight="1">
      <c r="K781" s="324" t="s">
        <v>598</v>
      </c>
      <c r="L781" s="273">
        <f t="shared" ref="L781:T781" si="215">SUM(L769:L780)</f>
        <v>52570</v>
      </c>
      <c r="M781" s="273">
        <f t="shared" si="215"/>
        <v>71037</v>
      </c>
      <c r="N781" s="274">
        <f t="shared" si="215"/>
        <v>406850</v>
      </c>
      <c r="O781" s="274">
        <f t="shared" si="215"/>
        <v>384679</v>
      </c>
      <c r="P781" s="273">
        <f t="shared" si="215"/>
        <v>580832</v>
      </c>
      <c r="Q781" s="273">
        <f t="shared" si="215"/>
        <v>100000</v>
      </c>
      <c r="R781" s="273">
        <f t="shared" si="215"/>
        <v>0</v>
      </c>
      <c r="S781" s="273">
        <f t="shared" si="215"/>
        <v>0</v>
      </c>
      <c r="T781" s="273">
        <f t="shared" si="215"/>
        <v>0</v>
      </c>
      <c r="U781" s="542"/>
    </row>
    <row r="782" spans="1:22" s="255" customFormat="1" ht="15" customHeight="1">
      <c r="L782" s="290"/>
      <c r="M782" s="290"/>
      <c r="N782" s="291"/>
      <c r="O782" s="291"/>
      <c r="P782" s="290"/>
      <c r="Q782" s="290"/>
      <c r="R782" s="290"/>
      <c r="S782" s="290"/>
      <c r="T782" s="290"/>
      <c r="U782" s="542"/>
    </row>
    <row r="783" spans="1:22" s="255" customFormat="1" ht="24" customHeight="1">
      <c r="K783" s="324" t="s">
        <v>599</v>
      </c>
      <c r="L783" s="290">
        <f t="shared" ref="L783:T783" si="216">L767-L781</f>
        <v>416198</v>
      </c>
      <c r="M783" s="290">
        <f t="shared" si="216"/>
        <v>66565</v>
      </c>
      <c r="N783" s="291">
        <f t="shared" si="216"/>
        <v>-333850</v>
      </c>
      <c r="O783" s="291">
        <f t="shared" ref="O783" si="217">O767-O781</f>
        <v>-222819</v>
      </c>
      <c r="P783" s="290">
        <f t="shared" si="216"/>
        <v>-150332</v>
      </c>
      <c r="Q783" s="290">
        <f t="shared" si="216"/>
        <v>330500</v>
      </c>
      <c r="R783" s="290">
        <f t="shared" si="216"/>
        <v>30500</v>
      </c>
      <c r="S783" s="290">
        <f t="shared" si="216"/>
        <v>30500</v>
      </c>
      <c r="T783" s="290">
        <f t="shared" si="216"/>
        <v>30500</v>
      </c>
      <c r="U783" s="542"/>
    </row>
    <row r="784" spans="1:22" s="255" customFormat="1" ht="15" customHeight="1">
      <c r="L784" s="290"/>
      <c r="M784" s="290"/>
      <c r="N784" s="291"/>
      <c r="O784" s="291"/>
      <c r="P784" s="290"/>
      <c r="Q784" s="290"/>
      <c r="R784" s="290"/>
      <c r="S784" s="290"/>
      <c r="T784" s="290"/>
      <c r="U784" s="542"/>
    </row>
    <row r="785" spans="1:22" s="255" customFormat="1" ht="24" customHeight="1">
      <c r="K785" s="329" t="s">
        <v>601</v>
      </c>
      <c r="L785" s="290">
        <v>121420</v>
      </c>
      <c r="M785" s="290">
        <v>187984</v>
      </c>
      <c r="N785" s="291">
        <v>-145213</v>
      </c>
      <c r="O785" s="291">
        <f>M785+O783</f>
        <v>-34835</v>
      </c>
      <c r="P785" s="290">
        <f>O785+P783</f>
        <v>-185167</v>
      </c>
      <c r="Q785" s="290">
        <f>P785+Q783</f>
        <v>145333</v>
      </c>
      <c r="R785" s="290">
        <f>Q785+R783</f>
        <v>175833</v>
      </c>
      <c r="S785" s="290">
        <f>R785+S783</f>
        <v>206333</v>
      </c>
      <c r="T785" s="290">
        <f>S785+T783</f>
        <v>236833</v>
      </c>
      <c r="U785" s="542"/>
    </row>
    <row r="786" spans="1:22" ht="15" customHeight="1">
      <c r="A786" s="255"/>
      <c r="B786" s="255"/>
      <c r="C786" s="255"/>
      <c r="D786" s="255"/>
      <c r="E786" s="255"/>
      <c r="F786" s="255"/>
      <c r="G786" s="255"/>
      <c r="H786" s="255"/>
      <c r="I786" s="255"/>
      <c r="J786" s="255"/>
      <c r="K786" s="255"/>
      <c r="L786" s="468"/>
      <c r="M786" s="468"/>
      <c r="N786" s="472"/>
      <c r="O786" s="472"/>
      <c r="P786" s="473"/>
      <c r="Q786" s="473"/>
      <c r="R786" s="473"/>
      <c r="S786" s="473"/>
      <c r="T786" s="473"/>
    </row>
    <row r="787" spans="1:22" ht="24" customHeight="1">
      <c r="A787" s="331" t="s">
        <v>619</v>
      </c>
      <c r="B787" s="255"/>
      <c r="C787" s="255"/>
      <c r="D787" s="255"/>
      <c r="E787" s="255"/>
      <c r="F787" s="255"/>
      <c r="G787" s="255"/>
      <c r="H787" s="255"/>
      <c r="I787" s="255"/>
      <c r="J787" s="255"/>
      <c r="K787" s="255"/>
      <c r="L787" s="318"/>
      <c r="M787" s="318"/>
      <c r="N787" s="466"/>
      <c r="O787" s="466"/>
      <c r="P787" s="467"/>
      <c r="Q787" s="467"/>
      <c r="R787" s="467"/>
      <c r="S787" s="467"/>
      <c r="T787" s="467"/>
    </row>
    <row r="788" spans="1:22" ht="15" customHeight="1">
      <c r="A788" s="255"/>
      <c r="B788" s="255"/>
      <c r="C788" s="255"/>
      <c r="D788" s="255"/>
      <c r="E788" s="255"/>
      <c r="F788" s="255"/>
      <c r="G788" s="255"/>
      <c r="H788" s="255"/>
      <c r="I788" s="255"/>
      <c r="J788" s="255"/>
      <c r="K788" s="255"/>
      <c r="L788" s="318"/>
      <c r="M788" s="318"/>
      <c r="N788" s="466"/>
      <c r="O788" s="466"/>
      <c r="P788" s="467"/>
      <c r="Q788" s="467"/>
      <c r="R788" s="467"/>
      <c r="S788" s="467"/>
      <c r="T788" s="467"/>
    </row>
    <row r="789" spans="1:22" ht="24" customHeight="1">
      <c r="A789" s="320" t="s">
        <v>989</v>
      </c>
      <c r="B789" s="255"/>
      <c r="C789" s="255"/>
      <c r="D789" s="159" t="s">
        <v>990</v>
      </c>
      <c r="E789" s="255"/>
      <c r="F789" s="255"/>
      <c r="G789" s="255"/>
      <c r="H789" s="255"/>
      <c r="I789" s="255"/>
      <c r="J789" s="255"/>
      <c r="K789" s="255"/>
      <c r="L789" s="266">
        <v>35120</v>
      </c>
      <c r="M789" s="266">
        <v>47745</v>
      </c>
      <c r="N789" s="194">
        <v>35000</v>
      </c>
      <c r="O789" s="194">
        <v>70000</v>
      </c>
      <c r="P789" s="193">
        <v>60000</v>
      </c>
      <c r="Q789" s="193">
        <v>60000</v>
      </c>
      <c r="R789" s="193">
        <v>60000</v>
      </c>
      <c r="S789" s="193">
        <v>60000</v>
      </c>
      <c r="T789" s="193">
        <v>60000</v>
      </c>
    </row>
    <row r="790" spans="1:22" ht="24" customHeight="1">
      <c r="A790" s="320" t="s">
        <v>991</v>
      </c>
      <c r="B790" s="255"/>
      <c r="C790" s="255"/>
      <c r="D790" s="159" t="s">
        <v>992</v>
      </c>
      <c r="E790" s="255"/>
      <c r="F790" s="255"/>
      <c r="G790" s="255"/>
      <c r="H790" s="255"/>
      <c r="I790" s="255"/>
      <c r="J790" s="255"/>
      <c r="K790" s="255"/>
      <c r="L790" s="266">
        <v>59559</v>
      </c>
      <c r="M790" s="266">
        <v>81114</v>
      </c>
      <c r="N790" s="194">
        <v>75000</v>
      </c>
      <c r="O790" s="194">
        <v>100000</v>
      </c>
      <c r="P790" s="193">
        <v>90000</v>
      </c>
      <c r="Q790" s="193">
        <v>90000</v>
      </c>
      <c r="R790" s="193">
        <v>90000</v>
      </c>
      <c r="S790" s="193">
        <v>90000</v>
      </c>
      <c r="T790" s="193">
        <v>90000</v>
      </c>
    </row>
    <row r="791" spans="1:22" ht="24" customHeight="1">
      <c r="A791" s="320" t="s">
        <v>993</v>
      </c>
      <c r="B791" s="255"/>
      <c r="C791" s="255"/>
      <c r="D791" s="159" t="s">
        <v>1173</v>
      </c>
      <c r="E791" s="255"/>
      <c r="F791" s="255"/>
      <c r="G791" s="255"/>
      <c r="H791" s="255"/>
      <c r="I791" s="255"/>
      <c r="J791" s="255"/>
      <c r="K791" s="255"/>
      <c r="L791" s="266">
        <v>138466</v>
      </c>
      <c r="M791" s="266">
        <v>139158</v>
      </c>
      <c r="N791" s="194">
        <v>140000</v>
      </c>
      <c r="O791" s="194">
        <v>140000</v>
      </c>
      <c r="P791" s="193">
        <v>145000</v>
      </c>
      <c r="Q791" s="193">
        <v>145000</v>
      </c>
      <c r="R791" s="193">
        <v>145000</v>
      </c>
      <c r="S791" s="193">
        <v>145000</v>
      </c>
      <c r="T791" s="193">
        <v>145000</v>
      </c>
    </row>
    <row r="792" spans="1:22" ht="24" customHeight="1">
      <c r="A792" s="320" t="s">
        <v>463</v>
      </c>
      <c r="B792" s="255"/>
      <c r="C792" s="255"/>
      <c r="D792" s="320" t="s">
        <v>464</v>
      </c>
      <c r="E792" s="255"/>
      <c r="F792" s="255"/>
      <c r="G792" s="255"/>
      <c r="H792" s="255"/>
      <c r="I792" s="255"/>
      <c r="J792" s="255"/>
      <c r="K792" s="255"/>
      <c r="L792" s="264">
        <v>32469</v>
      </c>
      <c r="M792" s="264">
        <v>31461</v>
      </c>
      <c r="N792" s="189">
        <v>30000</v>
      </c>
      <c r="O792" s="189">
        <v>29000</v>
      </c>
      <c r="P792" s="188">
        <v>30000</v>
      </c>
      <c r="Q792" s="188">
        <v>30000</v>
      </c>
      <c r="R792" s="188">
        <v>30000</v>
      </c>
      <c r="S792" s="188">
        <v>30000</v>
      </c>
      <c r="T792" s="188">
        <v>30000</v>
      </c>
    </row>
    <row r="793" spans="1:22" ht="24" customHeight="1">
      <c r="A793" s="320" t="s">
        <v>466</v>
      </c>
      <c r="B793" s="321"/>
      <c r="C793" s="321"/>
      <c r="D793" s="746" t="s">
        <v>6</v>
      </c>
      <c r="E793" s="746"/>
      <c r="F793" s="746"/>
      <c r="G793" s="746"/>
      <c r="H793" s="746"/>
      <c r="I793" s="746"/>
      <c r="J793" s="746"/>
      <c r="K793" s="746"/>
      <c r="L793" s="264">
        <v>244</v>
      </c>
      <c r="M793" s="264">
        <v>382</v>
      </c>
      <c r="N793" s="189">
        <v>250</v>
      </c>
      <c r="O793" s="189">
        <v>650</v>
      </c>
      <c r="P793" s="188">
        <v>400</v>
      </c>
      <c r="Q793" s="188">
        <v>400</v>
      </c>
      <c r="R793" s="188">
        <v>400</v>
      </c>
      <c r="S793" s="188">
        <v>400</v>
      </c>
      <c r="T793" s="188">
        <v>400</v>
      </c>
      <c r="U793" s="392"/>
    </row>
    <row r="794" spans="1:22" ht="24" customHeight="1">
      <c r="A794" s="320" t="s">
        <v>667</v>
      </c>
      <c r="B794" s="321"/>
      <c r="C794" s="321"/>
      <c r="D794" s="320" t="s">
        <v>265</v>
      </c>
      <c r="E794" s="321"/>
      <c r="F794" s="321"/>
      <c r="G794" s="321"/>
      <c r="H794" s="321"/>
      <c r="I794" s="321"/>
      <c r="J794" s="321"/>
      <c r="K794" s="321"/>
      <c r="L794" s="264">
        <v>12521</v>
      </c>
      <c r="M794" s="264">
        <v>0</v>
      </c>
      <c r="N794" s="189">
        <v>0</v>
      </c>
      <c r="O794" s="189">
        <v>0</v>
      </c>
      <c r="P794" s="188">
        <v>0</v>
      </c>
      <c r="Q794" s="188">
        <v>0</v>
      </c>
      <c r="R794" s="188">
        <v>0</v>
      </c>
      <c r="S794" s="188">
        <v>0</v>
      </c>
      <c r="T794" s="188">
        <v>0</v>
      </c>
      <c r="V794" s="187"/>
    </row>
    <row r="795" spans="1:22" ht="24" customHeight="1">
      <c r="A795" s="320" t="s">
        <v>762</v>
      </c>
      <c r="B795" s="321"/>
      <c r="C795" s="321"/>
      <c r="D795" s="523" t="s">
        <v>64</v>
      </c>
      <c r="E795" s="523"/>
      <c r="F795" s="523"/>
      <c r="G795" s="523"/>
      <c r="H795" s="523"/>
      <c r="I795" s="523"/>
      <c r="J795" s="523"/>
      <c r="K795" s="523"/>
      <c r="L795" s="265">
        <v>8426</v>
      </c>
      <c r="M795" s="265">
        <v>35728</v>
      </c>
      <c r="N795" s="195">
        <v>0</v>
      </c>
      <c r="O795" s="195">
        <v>0</v>
      </c>
      <c r="P795" s="192">
        <v>0</v>
      </c>
      <c r="Q795" s="192">
        <v>0</v>
      </c>
      <c r="R795" s="192">
        <v>0</v>
      </c>
      <c r="S795" s="192">
        <v>0</v>
      </c>
      <c r="T795" s="192">
        <v>0</v>
      </c>
    </row>
    <row r="796" spans="1:22" ht="24" customHeight="1">
      <c r="A796" s="320" t="s">
        <v>467</v>
      </c>
      <c r="B796" s="255"/>
      <c r="C796" s="255"/>
      <c r="D796" s="320" t="s">
        <v>239</v>
      </c>
      <c r="E796" s="619"/>
      <c r="F796" s="619"/>
      <c r="G796" s="619"/>
      <c r="H796" s="619"/>
      <c r="I796" s="619"/>
      <c r="J796" s="619"/>
      <c r="K796" s="619"/>
      <c r="L796" s="265">
        <v>54758</v>
      </c>
      <c r="M796" s="265">
        <v>52859</v>
      </c>
      <c r="N796" s="197">
        <v>50000</v>
      </c>
      <c r="O796" s="197">
        <v>40000</v>
      </c>
      <c r="P796" s="196">
        <v>40000</v>
      </c>
      <c r="Q796" s="196">
        <v>50000</v>
      </c>
      <c r="R796" s="196">
        <v>50000</v>
      </c>
      <c r="S796" s="196">
        <v>50000</v>
      </c>
      <c r="T796" s="196">
        <v>50000</v>
      </c>
      <c r="V796" s="187"/>
    </row>
    <row r="797" spans="1:22" ht="24" customHeight="1">
      <c r="A797" s="320" t="s">
        <v>745</v>
      </c>
      <c r="B797" s="255"/>
      <c r="C797" s="255"/>
      <c r="D797" s="320" t="s">
        <v>970</v>
      </c>
      <c r="E797" s="255"/>
      <c r="F797" s="255"/>
      <c r="G797" s="255"/>
      <c r="H797" s="255"/>
      <c r="I797" s="255"/>
      <c r="J797" s="255"/>
      <c r="K797" s="255"/>
      <c r="L797" s="265">
        <v>12552</v>
      </c>
      <c r="M797" s="265">
        <v>34559</v>
      </c>
      <c r="N797" s="197">
        <v>25000</v>
      </c>
      <c r="O797" s="197">
        <v>28000</v>
      </c>
      <c r="P797" s="196">
        <v>25000</v>
      </c>
      <c r="Q797" s="196">
        <v>25000</v>
      </c>
      <c r="R797" s="196">
        <v>25000</v>
      </c>
      <c r="S797" s="196">
        <v>25000</v>
      </c>
      <c r="T797" s="196">
        <v>25000</v>
      </c>
      <c r="V797" s="187"/>
    </row>
    <row r="798" spans="1:22" ht="24" customHeight="1">
      <c r="A798" s="320" t="s">
        <v>1011</v>
      </c>
      <c r="B798" s="255"/>
      <c r="C798" s="255"/>
      <c r="D798" s="320" t="s">
        <v>465</v>
      </c>
      <c r="E798" s="255"/>
      <c r="F798" s="255"/>
      <c r="G798" s="255"/>
      <c r="H798" s="255"/>
      <c r="I798" s="255"/>
      <c r="J798" s="255"/>
      <c r="K798" s="255"/>
      <c r="L798" s="264">
        <v>119235</v>
      </c>
      <c r="M798" s="264">
        <v>90597</v>
      </c>
      <c r="N798" s="189">
        <v>125000</v>
      </c>
      <c r="O798" s="189">
        <v>88000</v>
      </c>
      <c r="P798" s="188">
        <v>108000</v>
      </c>
      <c r="Q798" s="188">
        <v>108000</v>
      </c>
      <c r="R798" s="188">
        <v>108000</v>
      </c>
      <c r="S798" s="188">
        <v>108000</v>
      </c>
      <c r="T798" s="188">
        <v>108000</v>
      </c>
    </row>
    <row r="799" spans="1:22" ht="24" customHeight="1">
      <c r="A799" s="320" t="s">
        <v>468</v>
      </c>
      <c r="B799" s="255"/>
      <c r="C799" s="255"/>
      <c r="D799" s="320" t="s">
        <v>1174</v>
      </c>
      <c r="E799" s="255"/>
      <c r="F799" s="255"/>
      <c r="G799" s="255"/>
      <c r="H799" s="255"/>
      <c r="I799" s="255"/>
      <c r="J799" s="255"/>
      <c r="K799" s="255"/>
      <c r="L799" s="268">
        <v>5569</v>
      </c>
      <c r="M799" s="268">
        <v>4582</v>
      </c>
      <c r="N799" s="197">
        <v>5000</v>
      </c>
      <c r="O799" s="197">
        <v>8000</v>
      </c>
      <c r="P799" s="196">
        <v>5000</v>
      </c>
      <c r="Q799" s="196">
        <v>5000</v>
      </c>
      <c r="R799" s="196">
        <f>14000+700</f>
        <v>14700</v>
      </c>
      <c r="S799" s="196">
        <f>14000+700</f>
        <v>14700</v>
      </c>
      <c r="T799" s="196">
        <f>14000+700</f>
        <v>14700</v>
      </c>
    </row>
    <row r="800" spans="1:22" ht="24" customHeight="1">
      <c r="A800" s="320" t="s">
        <v>469</v>
      </c>
      <c r="B800" s="255"/>
      <c r="C800" s="255"/>
      <c r="D800" s="320" t="s">
        <v>7</v>
      </c>
      <c r="E800" s="255"/>
      <c r="F800" s="255"/>
      <c r="G800" s="255"/>
      <c r="H800" s="255"/>
      <c r="I800" s="255"/>
      <c r="J800" s="255"/>
      <c r="K800" s="255"/>
      <c r="L800" s="264">
        <v>3754</v>
      </c>
      <c r="M800" s="264">
        <v>6227</v>
      </c>
      <c r="N800" s="189">
        <v>3000</v>
      </c>
      <c r="O800" s="189">
        <v>3000</v>
      </c>
      <c r="P800" s="188">
        <v>3000</v>
      </c>
      <c r="Q800" s="188">
        <v>3000</v>
      </c>
      <c r="R800" s="188">
        <v>3000</v>
      </c>
      <c r="S800" s="188">
        <v>3000</v>
      </c>
      <c r="T800" s="188">
        <v>3000</v>
      </c>
      <c r="U800" s="392"/>
    </row>
    <row r="801" spans="1:27" ht="24" customHeight="1">
      <c r="A801" s="320" t="s">
        <v>470</v>
      </c>
      <c r="B801" s="321"/>
      <c r="C801" s="321"/>
      <c r="D801" s="320" t="s">
        <v>285</v>
      </c>
      <c r="E801" s="533"/>
      <c r="F801" s="533"/>
      <c r="G801" s="533"/>
      <c r="H801" s="533"/>
      <c r="I801" s="533"/>
      <c r="J801" s="533"/>
      <c r="K801" s="321"/>
      <c r="L801" s="279">
        <v>955886</v>
      </c>
      <c r="M801" s="279">
        <v>1765504</v>
      </c>
      <c r="N801" s="214">
        <v>1277606</v>
      </c>
      <c r="O801" s="214">
        <v>1277606</v>
      </c>
      <c r="P801" s="213">
        <f>1041056-3000+28000+63000+90940+28223+35032-13500-38257-38879+1001-908+288431-40825+252+36800+22894+11423-273757+4587-7464+136260-30050+7735-400-9000-114176-139251+22681-2+55806+87179-41447+11500-80117-21637-650-700-8000+3630+11500-345+5750+10242-54726-10000</f>
        <v>1076831</v>
      </c>
      <c r="Q801" s="213">
        <f>1076173-3000+25000+50000+95806+27999+35925-13500-38549-38878+1000-907+103348-47683+254+153641+43957+26431-221950+6062+42+142947-30050+7900-83655+21000-11368-436+80503-450+4746-1500-74266-19371-250-1900+3500+3093+9672+1688+9710</f>
        <v>1342684</v>
      </c>
      <c r="R801" s="213">
        <f>1076173-3000+50000+50000+83813+28000+36930-13500-40185-38880+1000-907+137556-55628+258+151575+69791+37904-66089+7627-180033+149962-30050+8509-89124+21837-11002+1454+84476-326-78366-19888-250-1900+2000+2971+9647+2266+10472</f>
        <v>1395093</v>
      </c>
      <c r="S801" s="213">
        <f>1076173-3000+50000+50000+83813+28000+36930-13500-40185-38880+1000-907+170427-64796+260+156675+96006+51006-279891+9285+23483+157415+2575-30050+9165-92797+22767-12130-145+89125-99-82765-20437-250-1900+2000+2836+9618+2401+11293</f>
        <v>1460521</v>
      </c>
      <c r="T801" s="213">
        <f>1076173-3000+50000+50000+83813+28000+36930-13500-40185-38880+1000-907+170427-64796+260+156675+96006+51006-279891+9285+23483+157415+2575-30050+9165+65480-96345+23538-4459-1872+94078+142-87453-21021-250-1900+2000+2681+9587+2546+12178</f>
        <v>1529934</v>
      </c>
    </row>
    <row r="802" spans="1:27" ht="15" customHeight="1">
      <c r="A802" s="255"/>
      <c r="B802" s="255"/>
      <c r="C802" s="255"/>
      <c r="D802" s="255"/>
      <c r="E802" s="255"/>
      <c r="F802" s="255"/>
      <c r="G802" s="255"/>
      <c r="H802" s="255"/>
      <c r="I802" s="255"/>
      <c r="J802" s="255"/>
      <c r="K802" s="255"/>
      <c r="L802" s="271"/>
      <c r="M802" s="271"/>
      <c r="N802" s="204"/>
      <c r="O802" s="204"/>
      <c r="P802" s="203"/>
      <c r="Q802" s="203"/>
      <c r="R802" s="203"/>
      <c r="S802" s="203"/>
      <c r="T802" s="203"/>
    </row>
    <row r="803" spans="1:27" s="255" customFormat="1" ht="24" customHeight="1">
      <c r="K803" s="324" t="s">
        <v>595</v>
      </c>
      <c r="L803" s="273">
        <f t="shared" ref="L803" si="218">SUM(L789:L802)</f>
        <v>1438559</v>
      </c>
      <c r="M803" s="273">
        <f t="shared" ref="M803:T803" si="219">SUM(M789:M802)</f>
        <v>2289916</v>
      </c>
      <c r="N803" s="274">
        <f t="shared" ref="N803:S803" si="220">SUM(N789:N802)</f>
        <v>1765856</v>
      </c>
      <c r="O803" s="274">
        <f t="shared" ref="O803" si="221">SUM(O789:O802)</f>
        <v>1784256</v>
      </c>
      <c r="P803" s="273">
        <f t="shared" si="220"/>
        <v>1583231</v>
      </c>
      <c r="Q803" s="273">
        <f t="shared" si="220"/>
        <v>1859084</v>
      </c>
      <c r="R803" s="273">
        <f t="shared" si="220"/>
        <v>1921193</v>
      </c>
      <c r="S803" s="273">
        <f t="shared" si="220"/>
        <v>1986621</v>
      </c>
      <c r="T803" s="273">
        <f t="shared" si="219"/>
        <v>2056034</v>
      </c>
      <c r="U803" s="542"/>
    </row>
    <row r="804" spans="1:27" ht="15" customHeight="1">
      <c r="A804" s="255"/>
      <c r="B804" s="255"/>
      <c r="C804" s="255"/>
      <c r="D804" s="255"/>
      <c r="E804" s="255"/>
      <c r="F804" s="255"/>
      <c r="G804" s="255"/>
      <c r="H804" s="255"/>
      <c r="I804" s="255"/>
      <c r="J804" s="255"/>
      <c r="K804" s="255"/>
      <c r="L804" s="271"/>
      <c r="M804" s="271"/>
      <c r="N804" s="204"/>
      <c r="O804" s="204"/>
      <c r="P804" s="203"/>
      <c r="Q804" s="203"/>
      <c r="R804" s="203"/>
      <c r="S804" s="203"/>
      <c r="T804" s="203"/>
    </row>
    <row r="805" spans="1:27" ht="24" customHeight="1">
      <c r="A805" s="324" t="s">
        <v>663</v>
      </c>
      <c r="B805" s="255"/>
      <c r="C805" s="255"/>
      <c r="D805" s="255"/>
      <c r="E805" s="255"/>
      <c r="F805" s="255"/>
      <c r="G805" s="255"/>
      <c r="H805" s="255"/>
      <c r="I805" s="255"/>
      <c r="J805" s="255"/>
      <c r="K805" s="255"/>
      <c r="L805" s="271"/>
      <c r="M805" s="271"/>
      <c r="N805" s="204"/>
      <c r="O805" s="204"/>
      <c r="P805" s="203"/>
      <c r="Q805" s="203"/>
      <c r="R805" s="203"/>
      <c r="S805" s="203"/>
      <c r="T805" s="203"/>
    </row>
    <row r="806" spans="1:27" ht="24" customHeight="1">
      <c r="A806" s="320" t="s">
        <v>471</v>
      </c>
      <c r="B806" s="321"/>
      <c r="C806" s="321"/>
      <c r="D806" s="320" t="s">
        <v>1003</v>
      </c>
      <c r="E806" s="321"/>
      <c r="F806" s="321"/>
      <c r="G806" s="321"/>
      <c r="H806" s="321"/>
      <c r="I806" s="321"/>
      <c r="J806" s="321"/>
      <c r="K806" s="321"/>
      <c r="L806" s="264">
        <v>400384</v>
      </c>
      <c r="M806" s="264">
        <v>410777</v>
      </c>
      <c r="N806" s="189">
        <v>447564</v>
      </c>
      <c r="O806" s="189">
        <v>447564</v>
      </c>
      <c r="P806" s="196">
        <v>477325</v>
      </c>
      <c r="Q806" s="196">
        <v>494031</v>
      </c>
      <c r="R806" s="196">
        <v>511322</v>
      </c>
      <c r="S806" s="196">
        <v>529218</v>
      </c>
      <c r="T806" s="196">
        <v>547741</v>
      </c>
      <c r="V806" s="487"/>
      <c r="W806" s="488"/>
      <c r="X806" s="488"/>
      <c r="Y806" s="488"/>
      <c r="AA806" s="187"/>
    </row>
    <row r="807" spans="1:27" ht="24" customHeight="1">
      <c r="A807" s="320" t="s">
        <v>472</v>
      </c>
      <c r="B807" s="255"/>
      <c r="C807" s="255"/>
      <c r="D807" s="320" t="s">
        <v>73</v>
      </c>
      <c r="E807" s="255"/>
      <c r="F807" s="255"/>
      <c r="G807" s="255"/>
      <c r="H807" s="255"/>
      <c r="I807" s="255"/>
      <c r="J807" s="255"/>
      <c r="K807" s="255"/>
      <c r="L807" s="264">
        <v>17932</v>
      </c>
      <c r="M807" s="264">
        <v>17207</v>
      </c>
      <c r="N807" s="189">
        <v>34000</v>
      </c>
      <c r="O807" s="189">
        <v>34000</v>
      </c>
      <c r="P807" s="188">
        <v>30000</v>
      </c>
      <c r="Q807" s="188">
        <v>30000</v>
      </c>
      <c r="R807" s="188">
        <v>30000</v>
      </c>
      <c r="S807" s="188">
        <v>30000</v>
      </c>
      <c r="T807" s="188">
        <v>30000</v>
      </c>
      <c r="V807" s="487"/>
      <c r="W807" s="488"/>
      <c r="X807" s="488"/>
      <c r="Y807" s="488"/>
    </row>
    <row r="808" spans="1:27" ht="24" customHeight="1">
      <c r="A808" s="320" t="s">
        <v>473</v>
      </c>
      <c r="B808" s="321"/>
      <c r="C808" s="321"/>
      <c r="D808" s="320" t="s">
        <v>14</v>
      </c>
      <c r="E808" s="321"/>
      <c r="F808" s="321"/>
      <c r="G808" s="321"/>
      <c r="H808" s="321"/>
      <c r="I808" s="321"/>
      <c r="J808" s="321"/>
      <c r="K808" s="321"/>
      <c r="L808" s="264">
        <v>1431</v>
      </c>
      <c r="M808" s="264">
        <v>514</v>
      </c>
      <c r="N808" s="189">
        <v>3000</v>
      </c>
      <c r="O808" s="189">
        <v>3000</v>
      </c>
      <c r="P808" s="188">
        <v>3000</v>
      </c>
      <c r="Q808" s="188">
        <v>3000</v>
      </c>
      <c r="R808" s="188">
        <v>3000</v>
      </c>
      <c r="S808" s="188">
        <v>3000</v>
      </c>
      <c r="T808" s="188">
        <v>3000</v>
      </c>
      <c r="V808" s="487"/>
      <c r="W808" s="488"/>
      <c r="X808" s="488"/>
      <c r="Y808" s="488"/>
    </row>
    <row r="809" spans="1:27" ht="24" customHeight="1">
      <c r="A809" s="320" t="s">
        <v>474</v>
      </c>
      <c r="B809" s="321"/>
      <c r="C809" s="321"/>
      <c r="D809" s="320" t="s">
        <v>8</v>
      </c>
      <c r="E809" s="321"/>
      <c r="F809" s="321"/>
      <c r="G809" s="321"/>
      <c r="H809" s="321"/>
      <c r="I809" s="321"/>
      <c r="J809" s="321"/>
      <c r="K809" s="321"/>
      <c r="L809" s="264">
        <v>43342</v>
      </c>
      <c r="M809" s="264">
        <v>46293</v>
      </c>
      <c r="N809" s="189">
        <v>53733</v>
      </c>
      <c r="O809" s="189">
        <v>53733</v>
      </c>
      <c r="P809" s="188">
        <v>53437</v>
      </c>
      <c r="Q809" s="188">
        <v>60568</v>
      </c>
      <c r="R809" s="188">
        <v>66421</v>
      </c>
      <c r="S809" s="188">
        <v>72873</v>
      </c>
      <c r="T809" s="188">
        <v>79970</v>
      </c>
      <c r="V809" s="487"/>
      <c r="W809" s="488"/>
      <c r="X809" s="488"/>
      <c r="Y809" s="488"/>
    </row>
    <row r="810" spans="1:27" ht="24" customHeight="1">
      <c r="A810" s="320" t="s">
        <v>475</v>
      </c>
      <c r="B810" s="255"/>
      <c r="C810" s="255"/>
      <c r="D810" s="320" t="s">
        <v>9</v>
      </c>
      <c r="E810" s="255"/>
      <c r="F810" s="255"/>
      <c r="G810" s="255"/>
      <c r="H810" s="255"/>
      <c r="I810" s="255"/>
      <c r="J810" s="255"/>
      <c r="K810" s="255"/>
      <c r="L810" s="264">
        <v>31109</v>
      </c>
      <c r="M810" s="264">
        <v>31909</v>
      </c>
      <c r="N810" s="189">
        <v>36183</v>
      </c>
      <c r="O810" s="189">
        <v>36183</v>
      </c>
      <c r="P810" s="196">
        <v>38169</v>
      </c>
      <c r="Q810" s="196">
        <v>39505</v>
      </c>
      <c r="R810" s="196">
        <v>40888</v>
      </c>
      <c r="S810" s="196">
        <v>42319</v>
      </c>
      <c r="T810" s="196">
        <v>43800</v>
      </c>
      <c r="V810" s="487"/>
      <c r="W810" s="488"/>
      <c r="X810" s="488"/>
      <c r="Y810" s="488"/>
    </row>
    <row r="811" spans="1:27" ht="24" customHeight="1">
      <c r="A811" s="320" t="s">
        <v>647</v>
      </c>
      <c r="B811" s="255"/>
      <c r="C811" s="255"/>
      <c r="D811" s="320" t="s">
        <v>13</v>
      </c>
      <c r="E811" s="255"/>
      <c r="F811" s="255"/>
      <c r="G811" s="255"/>
      <c r="H811" s="255"/>
      <c r="I811" s="255"/>
      <c r="J811" s="255"/>
      <c r="K811" s="255"/>
      <c r="L811" s="264">
        <v>110141</v>
      </c>
      <c r="M811" s="264">
        <v>109505</v>
      </c>
      <c r="N811" s="189">
        <v>132108</v>
      </c>
      <c r="O811" s="189">
        <v>132108</v>
      </c>
      <c r="P811" s="193">
        <v>131148</v>
      </c>
      <c r="Q811" s="193">
        <v>141640</v>
      </c>
      <c r="R811" s="193">
        <v>152971</v>
      </c>
      <c r="S811" s="193">
        <v>165209</v>
      </c>
      <c r="T811" s="193">
        <v>178426</v>
      </c>
      <c r="V811" s="487"/>
      <c r="W811" s="488"/>
      <c r="X811" s="487"/>
      <c r="Y811" s="488"/>
      <c r="AA811" s="187"/>
    </row>
    <row r="812" spans="1:27" ht="24" customHeight="1">
      <c r="A812" s="320" t="s">
        <v>648</v>
      </c>
      <c r="B812" s="255"/>
      <c r="C812" s="255"/>
      <c r="D812" s="320" t="s">
        <v>187</v>
      </c>
      <c r="E812" s="255"/>
      <c r="F812" s="255"/>
      <c r="G812" s="255"/>
      <c r="H812" s="255"/>
      <c r="I812" s="255"/>
      <c r="J812" s="255"/>
      <c r="K812" s="255"/>
      <c r="L812" s="264">
        <v>936</v>
      </c>
      <c r="M812" s="264">
        <v>878</v>
      </c>
      <c r="N812" s="189">
        <v>924</v>
      </c>
      <c r="O812" s="189">
        <v>924</v>
      </c>
      <c r="P812" s="193">
        <v>951</v>
      </c>
      <c r="Q812" s="193">
        <v>961</v>
      </c>
      <c r="R812" s="193">
        <v>971</v>
      </c>
      <c r="S812" s="193">
        <v>981</v>
      </c>
      <c r="T812" s="193">
        <v>991</v>
      </c>
      <c r="V812" s="487"/>
      <c r="W812" s="488"/>
      <c r="X812" s="487"/>
      <c r="Y812" s="488"/>
      <c r="AA812" s="187"/>
    </row>
    <row r="813" spans="1:27" ht="24" customHeight="1">
      <c r="A813" s="320" t="s">
        <v>649</v>
      </c>
      <c r="B813" s="255"/>
      <c r="C813" s="255"/>
      <c r="D813" s="320" t="s">
        <v>652</v>
      </c>
      <c r="E813" s="255"/>
      <c r="F813" s="255"/>
      <c r="G813" s="255"/>
      <c r="H813" s="255"/>
      <c r="I813" s="255"/>
      <c r="J813" s="255"/>
      <c r="K813" s="255"/>
      <c r="L813" s="264">
        <v>7954</v>
      </c>
      <c r="M813" s="264">
        <v>6873</v>
      </c>
      <c r="N813" s="189">
        <v>7728</v>
      </c>
      <c r="O813" s="189">
        <v>7728</v>
      </c>
      <c r="P813" s="193">
        <v>9706</v>
      </c>
      <c r="Q813" s="193">
        <v>10191</v>
      </c>
      <c r="R813" s="193">
        <v>10701</v>
      </c>
      <c r="S813" s="193">
        <v>11236</v>
      </c>
      <c r="T813" s="193">
        <v>11798</v>
      </c>
      <c r="V813" s="487"/>
      <c r="W813" s="488"/>
      <c r="X813" s="487"/>
      <c r="Y813" s="488"/>
      <c r="AA813" s="187"/>
    </row>
    <row r="814" spans="1:27" ht="24" customHeight="1">
      <c r="A814" s="320" t="s">
        <v>661</v>
      </c>
      <c r="B814" s="255"/>
      <c r="C814" s="255"/>
      <c r="D814" s="320" t="s">
        <v>654</v>
      </c>
      <c r="E814" s="255"/>
      <c r="F814" s="255"/>
      <c r="G814" s="255"/>
      <c r="H814" s="255"/>
      <c r="I814" s="255"/>
      <c r="J814" s="255"/>
      <c r="K814" s="255"/>
      <c r="L814" s="264">
        <v>932</v>
      </c>
      <c r="M814" s="264">
        <v>957</v>
      </c>
      <c r="N814" s="189">
        <v>1032</v>
      </c>
      <c r="O814" s="189">
        <v>1032</v>
      </c>
      <c r="P814" s="193">
        <v>1002</v>
      </c>
      <c r="Q814" s="193">
        <v>1032</v>
      </c>
      <c r="R814" s="193">
        <v>1063</v>
      </c>
      <c r="S814" s="193">
        <v>1095</v>
      </c>
      <c r="T814" s="193">
        <v>1128</v>
      </c>
      <c r="V814" s="487"/>
      <c r="W814" s="488"/>
      <c r="X814" s="487"/>
      <c r="Y814" s="488"/>
      <c r="AA814" s="187"/>
    </row>
    <row r="815" spans="1:27" ht="24" customHeight="1">
      <c r="A815" s="320" t="s">
        <v>476</v>
      </c>
      <c r="B815" s="321"/>
      <c r="C815" s="321"/>
      <c r="D815" s="320" t="s">
        <v>96</v>
      </c>
      <c r="E815" s="321"/>
      <c r="F815" s="321"/>
      <c r="G815" s="321"/>
      <c r="H815" s="321"/>
      <c r="I815" s="321"/>
      <c r="J815" s="321"/>
      <c r="K815" s="321"/>
      <c r="L815" s="264">
        <v>1333</v>
      </c>
      <c r="M815" s="264">
        <v>1663</v>
      </c>
      <c r="N815" s="189">
        <v>7000</v>
      </c>
      <c r="O815" s="189">
        <v>7000</v>
      </c>
      <c r="P815" s="188">
        <v>10000</v>
      </c>
      <c r="Q815" s="188">
        <v>7000</v>
      </c>
      <c r="R815" s="188">
        <v>7000</v>
      </c>
      <c r="S815" s="188">
        <v>7000</v>
      </c>
      <c r="T815" s="188">
        <v>7000</v>
      </c>
    </row>
    <row r="816" spans="1:27" ht="24" customHeight="1">
      <c r="A816" s="320" t="s">
        <v>477</v>
      </c>
      <c r="B816" s="321"/>
      <c r="C816" s="321"/>
      <c r="D816" s="320" t="s">
        <v>1166</v>
      </c>
      <c r="E816" s="321"/>
      <c r="F816" s="321"/>
      <c r="G816" s="321"/>
      <c r="H816" s="321"/>
      <c r="I816" s="321"/>
      <c r="J816" s="321"/>
      <c r="K816" s="321"/>
      <c r="L816" s="264">
        <v>329</v>
      </c>
      <c r="M816" s="264">
        <v>114</v>
      </c>
      <c r="N816" s="189">
        <v>3000</v>
      </c>
      <c r="O816" s="189">
        <v>3000</v>
      </c>
      <c r="P816" s="188">
        <v>3000</v>
      </c>
      <c r="Q816" s="188">
        <v>3000</v>
      </c>
      <c r="R816" s="188">
        <v>3000</v>
      </c>
      <c r="S816" s="188">
        <v>3000</v>
      </c>
      <c r="T816" s="188">
        <v>3000</v>
      </c>
      <c r="V816" s="487"/>
      <c r="W816" s="488"/>
      <c r="X816" s="703"/>
    </row>
    <row r="817" spans="1:22" ht="24" customHeight="1">
      <c r="A817" s="320" t="s">
        <v>1226</v>
      </c>
      <c r="B817" s="429"/>
      <c r="C817" s="429"/>
      <c r="D817" s="320" t="s">
        <v>1103</v>
      </c>
      <c r="E817" s="429"/>
      <c r="F817" s="429"/>
      <c r="G817" s="429"/>
      <c r="H817" s="429"/>
      <c r="I817" s="429"/>
      <c r="J817" s="429"/>
      <c r="K817" s="429"/>
      <c r="L817" s="262">
        <v>0</v>
      </c>
      <c r="M817" s="262">
        <v>0</v>
      </c>
      <c r="N817" s="186">
        <v>109650</v>
      </c>
      <c r="O817" s="186">
        <v>109650</v>
      </c>
      <c r="P817" s="185">
        <f>P462</f>
        <v>0</v>
      </c>
      <c r="Q817" s="185">
        <f>Q462</f>
        <v>0</v>
      </c>
      <c r="R817" s="185">
        <f>R462</f>
        <v>0</v>
      </c>
      <c r="S817" s="185">
        <f>S462</f>
        <v>0</v>
      </c>
      <c r="T817" s="185">
        <f>T462</f>
        <v>0</v>
      </c>
      <c r="V817" s="187"/>
    </row>
    <row r="818" spans="1:22" ht="24" customHeight="1">
      <c r="A818" s="320" t="s">
        <v>478</v>
      </c>
      <c r="B818" s="255"/>
      <c r="C818" s="255"/>
      <c r="D818" s="320" t="s">
        <v>240</v>
      </c>
      <c r="E818" s="255"/>
      <c r="F818" s="255"/>
      <c r="G818" s="255"/>
      <c r="H818" s="255"/>
      <c r="I818" s="255"/>
      <c r="J818" s="255"/>
      <c r="K818" s="255"/>
      <c r="L818" s="264">
        <v>3863</v>
      </c>
      <c r="M818" s="264">
        <v>3913</v>
      </c>
      <c r="N818" s="189">
        <v>4780</v>
      </c>
      <c r="O818" s="189">
        <v>4780</v>
      </c>
      <c r="P818" s="188">
        <v>4780</v>
      </c>
      <c r="Q818" s="188">
        <v>4780</v>
      </c>
      <c r="R818" s="188">
        <v>4780</v>
      </c>
      <c r="S818" s="188">
        <v>4780</v>
      </c>
      <c r="T818" s="188">
        <v>4780</v>
      </c>
      <c r="V818" s="187"/>
    </row>
    <row r="819" spans="1:22" ht="24" customHeight="1">
      <c r="A819" s="320" t="s">
        <v>479</v>
      </c>
      <c r="B819" s="255"/>
      <c r="C819" s="255"/>
      <c r="D819" s="320" t="s">
        <v>10</v>
      </c>
      <c r="E819" s="255"/>
      <c r="F819" s="255"/>
      <c r="G819" s="255"/>
      <c r="H819" s="255"/>
      <c r="I819" s="255"/>
      <c r="J819" s="255"/>
      <c r="K819" s="255"/>
      <c r="L819" s="264">
        <v>2280</v>
      </c>
      <c r="M819" s="264">
        <v>1786</v>
      </c>
      <c r="N819" s="189">
        <v>4500</v>
      </c>
      <c r="O819" s="189">
        <v>4500</v>
      </c>
      <c r="P819" s="188">
        <v>3000</v>
      </c>
      <c r="Q819" s="188">
        <v>3000</v>
      </c>
      <c r="R819" s="188">
        <v>3000</v>
      </c>
      <c r="S819" s="188">
        <v>3000</v>
      </c>
      <c r="T819" s="188">
        <v>3000</v>
      </c>
    </row>
    <row r="820" spans="1:22" ht="24" customHeight="1">
      <c r="A820" s="320" t="s">
        <v>480</v>
      </c>
      <c r="B820" s="255"/>
      <c r="C820" s="255"/>
      <c r="D820" s="320" t="s">
        <v>136</v>
      </c>
      <c r="E820" s="255"/>
      <c r="F820" s="255"/>
      <c r="G820" s="255"/>
      <c r="H820" s="255"/>
      <c r="I820" s="255"/>
      <c r="J820" s="255"/>
      <c r="K820" s="255"/>
      <c r="L820" s="264">
        <v>5938</v>
      </c>
      <c r="M820" s="264">
        <v>5216</v>
      </c>
      <c r="N820" s="189">
        <v>4000</v>
      </c>
      <c r="O820" s="189">
        <v>6000</v>
      </c>
      <c r="P820" s="188">
        <v>6000</v>
      </c>
      <c r="Q820" s="188">
        <v>6000</v>
      </c>
      <c r="R820" s="188">
        <v>6000</v>
      </c>
      <c r="S820" s="188">
        <v>6000</v>
      </c>
      <c r="T820" s="188">
        <v>6000</v>
      </c>
    </row>
    <row r="821" spans="1:22" ht="24" customHeight="1">
      <c r="A821" s="320" t="s">
        <v>481</v>
      </c>
      <c r="B821" s="321"/>
      <c r="C821" s="321"/>
      <c r="D821" s="320" t="s">
        <v>91</v>
      </c>
      <c r="E821" s="321"/>
      <c r="F821" s="321"/>
      <c r="G821" s="321"/>
      <c r="H821" s="321"/>
      <c r="I821" s="321"/>
      <c r="J821" s="321"/>
      <c r="K821" s="321"/>
      <c r="L821" s="264">
        <v>620</v>
      </c>
      <c r="M821" s="264">
        <v>2600</v>
      </c>
      <c r="N821" s="189">
        <v>2500</v>
      </c>
      <c r="O821" s="189">
        <v>2500</v>
      </c>
      <c r="P821" s="188">
        <v>2500</v>
      </c>
      <c r="Q821" s="188">
        <v>2500</v>
      </c>
      <c r="R821" s="188">
        <v>2500</v>
      </c>
      <c r="S821" s="188">
        <v>2500</v>
      </c>
      <c r="T821" s="188">
        <v>2500</v>
      </c>
    </row>
    <row r="822" spans="1:22" ht="24" customHeight="1">
      <c r="A822" s="320" t="s">
        <v>746</v>
      </c>
      <c r="B822" s="321"/>
      <c r="C822" s="321"/>
      <c r="D822" s="320" t="s">
        <v>1170</v>
      </c>
      <c r="E822" s="321"/>
      <c r="F822" s="321"/>
      <c r="G822" s="321"/>
      <c r="H822" s="321"/>
      <c r="I822" s="321"/>
      <c r="J822" s="321"/>
      <c r="K822" s="321"/>
      <c r="L822" s="264">
        <v>26194</v>
      </c>
      <c r="M822" s="264">
        <v>37059</v>
      </c>
      <c r="N822" s="189">
        <v>32500</v>
      </c>
      <c r="O822" s="189">
        <v>32500</v>
      </c>
      <c r="P822" s="188">
        <v>32500</v>
      </c>
      <c r="Q822" s="188">
        <v>32500</v>
      </c>
      <c r="R822" s="188">
        <v>32500</v>
      </c>
      <c r="S822" s="188">
        <v>32500</v>
      </c>
      <c r="T822" s="188">
        <v>32500</v>
      </c>
    </row>
    <row r="823" spans="1:22" ht="24" customHeight="1">
      <c r="A823" s="320" t="s">
        <v>482</v>
      </c>
      <c r="B823" s="321"/>
      <c r="C823" s="321"/>
      <c r="D823" s="320" t="s">
        <v>101</v>
      </c>
      <c r="E823" s="321"/>
      <c r="F823" s="321"/>
      <c r="G823" s="321"/>
      <c r="H823" s="321"/>
      <c r="I823" s="321"/>
      <c r="J823" s="321"/>
      <c r="K823" s="321"/>
      <c r="L823" s="264">
        <v>4603</v>
      </c>
      <c r="M823" s="264">
        <v>4806</v>
      </c>
      <c r="N823" s="189">
        <v>4700</v>
      </c>
      <c r="O823" s="189">
        <v>4700</v>
      </c>
      <c r="P823" s="185">
        <f>ROUND(O823*1.05,0)</f>
        <v>4935</v>
      </c>
      <c r="Q823" s="185">
        <f t="shared" ref="Q823:T823" si="222">ROUND(P823*1.05,0)</f>
        <v>5182</v>
      </c>
      <c r="R823" s="185">
        <f t="shared" si="222"/>
        <v>5441</v>
      </c>
      <c r="S823" s="185">
        <f t="shared" si="222"/>
        <v>5713</v>
      </c>
      <c r="T823" s="185">
        <f t="shared" si="222"/>
        <v>5999</v>
      </c>
    </row>
    <row r="824" spans="1:22" ht="24" customHeight="1">
      <c r="A824" s="320" t="s">
        <v>483</v>
      </c>
      <c r="B824" s="321"/>
      <c r="C824" s="321"/>
      <c r="D824" s="320" t="s">
        <v>11</v>
      </c>
      <c r="E824" s="321"/>
      <c r="F824" s="321"/>
      <c r="G824" s="321"/>
      <c r="H824" s="321"/>
      <c r="I824" s="321"/>
      <c r="J824" s="321"/>
      <c r="K824" s="321"/>
      <c r="L824" s="264">
        <v>167</v>
      </c>
      <c r="M824" s="264">
        <v>71</v>
      </c>
      <c r="N824" s="189">
        <v>300</v>
      </c>
      <c r="O824" s="189">
        <v>300</v>
      </c>
      <c r="P824" s="188">
        <v>300</v>
      </c>
      <c r="Q824" s="188">
        <v>300</v>
      </c>
      <c r="R824" s="188">
        <v>300</v>
      </c>
      <c r="S824" s="188">
        <v>300</v>
      </c>
      <c r="T824" s="188">
        <v>300</v>
      </c>
    </row>
    <row r="825" spans="1:22" ht="24" customHeight="1">
      <c r="A825" s="320" t="s">
        <v>484</v>
      </c>
      <c r="B825" s="321"/>
      <c r="C825" s="321"/>
      <c r="D825" s="320" t="s">
        <v>12</v>
      </c>
      <c r="E825" s="321"/>
      <c r="F825" s="321"/>
      <c r="G825" s="321"/>
      <c r="H825" s="321"/>
      <c r="I825" s="321"/>
      <c r="J825" s="321"/>
      <c r="K825" s="321"/>
      <c r="L825" s="264">
        <v>17900</v>
      </c>
      <c r="M825" s="264">
        <v>32327</v>
      </c>
      <c r="N825" s="189">
        <v>22500</v>
      </c>
      <c r="O825" s="189">
        <v>22500</v>
      </c>
      <c r="P825" s="188">
        <f t="shared" ref="P825:T825" si="223">20000+1500+1000</f>
        <v>22500</v>
      </c>
      <c r="Q825" s="188">
        <f t="shared" si="223"/>
        <v>22500</v>
      </c>
      <c r="R825" s="188">
        <f t="shared" si="223"/>
        <v>22500</v>
      </c>
      <c r="S825" s="188">
        <f t="shared" si="223"/>
        <v>22500</v>
      </c>
      <c r="T825" s="188">
        <f t="shared" si="223"/>
        <v>22500</v>
      </c>
    </row>
    <row r="826" spans="1:22" ht="24" customHeight="1">
      <c r="A826" s="320" t="s">
        <v>485</v>
      </c>
      <c r="B826" s="321"/>
      <c r="C826" s="321"/>
      <c r="D826" s="320" t="s">
        <v>16</v>
      </c>
      <c r="E826" s="321"/>
      <c r="F826" s="321"/>
      <c r="G826" s="321"/>
      <c r="H826" s="321"/>
      <c r="I826" s="321"/>
      <c r="J826" s="321"/>
      <c r="K826" s="321"/>
      <c r="L826" s="266">
        <v>3093</v>
      </c>
      <c r="M826" s="266">
        <v>4288</v>
      </c>
      <c r="N826" s="194">
        <v>7000</v>
      </c>
      <c r="O826" s="194">
        <v>7000</v>
      </c>
      <c r="P826" s="193">
        <f t="shared" ref="P826:T826" si="224">1750+500</f>
        <v>2250</v>
      </c>
      <c r="Q826" s="193">
        <f t="shared" si="224"/>
        <v>2250</v>
      </c>
      <c r="R826" s="193">
        <f t="shared" si="224"/>
        <v>2250</v>
      </c>
      <c r="S826" s="193">
        <f t="shared" si="224"/>
        <v>2250</v>
      </c>
      <c r="T826" s="193">
        <f t="shared" si="224"/>
        <v>2250</v>
      </c>
    </row>
    <row r="827" spans="1:22" ht="24" customHeight="1">
      <c r="A827" s="320" t="s">
        <v>486</v>
      </c>
      <c r="B827" s="321"/>
      <c r="C827" s="321"/>
      <c r="D827" s="320" t="s">
        <v>249</v>
      </c>
      <c r="E827" s="321"/>
      <c r="F827" s="321"/>
      <c r="G827" s="321"/>
      <c r="H827" s="321"/>
      <c r="I827" s="321"/>
      <c r="J827" s="321"/>
      <c r="K827" s="321"/>
      <c r="L827" s="266">
        <v>0</v>
      </c>
      <c r="M827" s="266">
        <v>0</v>
      </c>
      <c r="N827" s="194">
        <v>500</v>
      </c>
      <c r="O827" s="194">
        <v>500</v>
      </c>
      <c r="P827" s="193">
        <v>500</v>
      </c>
      <c r="Q827" s="193">
        <v>500</v>
      </c>
      <c r="R827" s="193">
        <v>500</v>
      </c>
      <c r="S827" s="193">
        <v>500</v>
      </c>
      <c r="T827" s="193">
        <v>500</v>
      </c>
    </row>
    <row r="828" spans="1:22" ht="24" customHeight="1">
      <c r="A828" s="320" t="s">
        <v>487</v>
      </c>
      <c r="B828" s="321"/>
      <c r="C828" s="321"/>
      <c r="D828" s="320" t="s">
        <v>1169</v>
      </c>
      <c r="E828" s="321"/>
      <c r="F828" s="321"/>
      <c r="G828" s="321"/>
      <c r="H828" s="321"/>
      <c r="I828" s="321"/>
      <c r="J828" s="321"/>
      <c r="K828" s="321"/>
      <c r="L828" s="266">
        <v>54036</v>
      </c>
      <c r="M828" s="266">
        <v>79678</v>
      </c>
      <c r="N828" s="194">
        <v>50500</v>
      </c>
      <c r="O828" s="194">
        <v>50500</v>
      </c>
      <c r="P828" s="193">
        <f t="shared" ref="P828:T828" si="225">58000-7500</f>
        <v>50500</v>
      </c>
      <c r="Q828" s="193">
        <f t="shared" si="225"/>
        <v>50500</v>
      </c>
      <c r="R828" s="193">
        <f t="shared" si="225"/>
        <v>50500</v>
      </c>
      <c r="S828" s="193">
        <f t="shared" si="225"/>
        <v>50500</v>
      </c>
      <c r="T828" s="193">
        <f t="shared" si="225"/>
        <v>50500</v>
      </c>
    </row>
    <row r="829" spans="1:22" ht="24" customHeight="1">
      <c r="A829" s="320" t="s">
        <v>995</v>
      </c>
      <c r="B829" s="321"/>
      <c r="C829" s="321"/>
      <c r="D829" s="320" t="s">
        <v>145</v>
      </c>
      <c r="E829" s="321"/>
      <c r="F829" s="321"/>
      <c r="G829" s="321"/>
      <c r="H829" s="321"/>
      <c r="I829" s="321"/>
      <c r="J829" s="321"/>
      <c r="K829" s="321"/>
      <c r="L829" s="282">
        <v>19973</v>
      </c>
      <c r="M829" s="282">
        <v>20202</v>
      </c>
      <c r="N829" s="219">
        <v>22898</v>
      </c>
      <c r="O829" s="219">
        <v>22898</v>
      </c>
      <c r="P829" s="218">
        <f>ROUND(O829*1.07,0)</f>
        <v>24501</v>
      </c>
      <c r="Q829" s="218">
        <f t="shared" ref="Q829:T829" si="226">ROUND(P829*1.07,0)</f>
        <v>26216</v>
      </c>
      <c r="R829" s="218">
        <f t="shared" si="226"/>
        <v>28051</v>
      </c>
      <c r="S829" s="218">
        <f t="shared" si="226"/>
        <v>30015</v>
      </c>
      <c r="T829" s="218">
        <f t="shared" si="226"/>
        <v>32116</v>
      </c>
      <c r="V829" s="190"/>
    </row>
    <row r="830" spans="1:22" s="255" customFormat="1" ht="24" customHeight="1">
      <c r="A830" s="320"/>
      <c r="B830" s="321"/>
      <c r="C830" s="321"/>
      <c r="D830" s="320"/>
      <c r="E830" s="321"/>
      <c r="F830" s="321"/>
      <c r="G830" s="321"/>
      <c r="H830" s="321"/>
      <c r="I830" s="321"/>
      <c r="J830" s="321"/>
      <c r="K830" s="321"/>
      <c r="L830" s="287">
        <f t="shared" ref="L830" si="227">SUM(L806:L829)</f>
        <v>754490</v>
      </c>
      <c r="M830" s="287">
        <f t="shared" ref="M830:T830" si="228">SUM(M806:M829)</f>
        <v>818636</v>
      </c>
      <c r="N830" s="278">
        <f t="shared" ref="N830:S830" si="229">SUM(N806:N829)</f>
        <v>992600</v>
      </c>
      <c r="O830" s="278">
        <f t="shared" ref="O830" si="230">SUM(O806:O829)</f>
        <v>994600</v>
      </c>
      <c r="P830" s="287">
        <f t="shared" si="229"/>
        <v>912004</v>
      </c>
      <c r="Q830" s="287">
        <f t="shared" si="229"/>
        <v>947156</v>
      </c>
      <c r="R830" s="287">
        <f t="shared" si="229"/>
        <v>985659</v>
      </c>
      <c r="S830" s="287">
        <f t="shared" si="229"/>
        <v>1026489</v>
      </c>
      <c r="T830" s="287">
        <f t="shared" si="228"/>
        <v>1069799</v>
      </c>
      <c r="U830" s="403"/>
    </row>
    <row r="831" spans="1:22" ht="15" customHeight="1">
      <c r="A831" s="320"/>
      <c r="B831" s="321"/>
      <c r="C831" s="321"/>
      <c r="D831" s="320"/>
      <c r="E831" s="321"/>
      <c r="F831" s="321"/>
      <c r="G831" s="321"/>
      <c r="H831" s="321"/>
      <c r="I831" s="321"/>
      <c r="J831" s="321"/>
      <c r="K831" s="321"/>
      <c r="L831" s="265"/>
      <c r="M831" s="265"/>
      <c r="N831" s="195"/>
      <c r="O831" s="195"/>
      <c r="P831" s="192"/>
      <c r="Q831" s="192"/>
      <c r="R831" s="192"/>
      <c r="S831" s="192"/>
      <c r="T831" s="192"/>
    </row>
    <row r="832" spans="1:22" ht="24" customHeight="1">
      <c r="A832" s="324" t="s">
        <v>664</v>
      </c>
      <c r="B832" s="255"/>
      <c r="C832" s="255"/>
      <c r="D832" s="255"/>
      <c r="E832" s="255"/>
      <c r="F832" s="255"/>
      <c r="G832" s="255"/>
      <c r="H832" s="255"/>
      <c r="I832" s="255"/>
      <c r="J832" s="255"/>
      <c r="K832" s="255"/>
      <c r="L832" s="271"/>
      <c r="M832" s="271"/>
      <c r="N832" s="204"/>
      <c r="O832" s="204"/>
      <c r="P832" s="203"/>
      <c r="Q832" s="203"/>
      <c r="R832" s="203"/>
      <c r="S832" s="203"/>
      <c r="T832" s="203"/>
    </row>
    <row r="833" spans="1:27" ht="24" customHeight="1">
      <c r="A833" s="320" t="s">
        <v>688</v>
      </c>
      <c r="B833" s="321"/>
      <c r="C833" s="321"/>
      <c r="D833" s="320" t="s">
        <v>1003</v>
      </c>
      <c r="E833" s="321"/>
      <c r="F833" s="321"/>
      <c r="G833" s="321"/>
      <c r="H833" s="321"/>
      <c r="I833" s="321"/>
      <c r="J833" s="321"/>
      <c r="K833" s="321"/>
      <c r="L833" s="264">
        <v>202126</v>
      </c>
      <c r="M833" s="264">
        <v>225784</v>
      </c>
      <c r="N833" s="189">
        <v>273783</v>
      </c>
      <c r="O833" s="189">
        <v>248000</v>
      </c>
      <c r="P833" s="196">
        <v>263137</v>
      </c>
      <c r="Q833" s="196">
        <v>272347</v>
      </c>
      <c r="R833" s="196">
        <v>281879</v>
      </c>
      <c r="S833" s="196">
        <v>291745</v>
      </c>
      <c r="T833" s="196">
        <v>301956</v>
      </c>
      <c r="V833" s="487"/>
      <c r="W833" s="488"/>
      <c r="X833" s="488"/>
      <c r="Y833" s="488"/>
      <c r="AA833" s="187"/>
    </row>
    <row r="834" spans="1:27" ht="24" customHeight="1">
      <c r="A834" s="320" t="s">
        <v>689</v>
      </c>
      <c r="B834" s="255"/>
      <c r="C834" s="255"/>
      <c r="D834" s="320" t="s">
        <v>73</v>
      </c>
      <c r="E834" s="255"/>
      <c r="F834" s="255"/>
      <c r="G834" s="255"/>
      <c r="H834" s="255"/>
      <c r="I834" s="255"/>
      <c r="J834" s="255"/>
      <c r="K834" s="255"/>
      <c r="L834" s="264">
        <v>11457</v>
      </c>
      <c r="M834" s="264">
        <v>13524</v>
      </c>
      <c r="N834" s="189">
        <v>23000</v>
      </c>
      <c r="O834" s="189">
        <v>15000</v>
      </c>
      <c r="P834" s="188">
        <v>25000</v>
      </c>
      <c r="Q834" s="188">
        <v>25000</v>
      </c>
      <c r="R834" s="188">
        <v>25000</v>
      </c>
      <c r="S834" s="188">
        <v>25000</v>
      </c>
      <c r="T834" s="188">
        <v>25000</v>
      </c>
      <c r="V834" s="487"/>
      <c r="W834" s="488"/>
      <c r="X834" s="488"/>
      <c r="Y834" s="488"/>
    </row>
    <row r="835" spans="1:27" ht="24" customHeight="1">
      <c r="A835" s="320" t="s">
        <v>690</v>
      </c>
      <c r="B835" s="321"/>
      <c r="C835" s="321"/>
      <c r="D835" s="320" t="s">
        <v>14</v>
      </c>
      <c r="E835" s="321"/>
      <c r="F835" s="321"/>
      <c r="G835" s="321"/>
      <c r="H835" s="321"/>
      <c r="I835" s="321"/>
      <c r="J835" s="321"/>
      <c r="K835" s="321"/>
      <c r="L835" s="262">
        <v>0</v>
      </c>
      <c r="M835" s="262">
        <v>0</v>
      </c>
      <c r="N835" s="186">
        <v>300</v>
      </c>
      <c r="O835" s="186">
        <v>300</v>
      </c>
      <c r="P835" s="185">
        <v>300</v>
      </c>
      <c r="Q835" s="185">
        <v>300</v>
      </c>
      <c r="R835" s="185">
        <v>300</v>
      </c>
      <c r="S835" s="185">
        <v>300</v>
      </c>
      <c r="T835" s="185">
        <v>300</v>
      </c>
      <c r="V835" s="487"/>
      <c r="W835" s="488"/>
      <c r="X835" s="488"/>
      <c r="Y835" s="488"/>
    </row>
    <row r="836" spans="1:27" ht="24" customHeight="1">
      <c r="A836" s="320" t="s">
        <v>691</v>
      </c>
      <c r="B836" s="321"/>
      <c r="C836" s="321"/>
      <c r="D836" s="320" t="s">
        <v>488</v>
      </c>
      <c r="E836" s="321"/>
      <c r="F836" s="321"/>
      <c r="G836" s="321"/>
      <c r="H836" s="321"/>
      <c r="I836" s="321"/>
      <c r="J836" s="321"/>
      <c r="K836" s="321"/>
      <c r="L836" s="266">
        <v>8341</v>
      </c>
      <c r="M836" s="266">
        <v>10707</v>
      </c>
      <c r="N836" s="194">
        <v>14000</v>
      </c>
      <c r="O836" s="194">
        <v>11000</v>
      </c>
      <c r="P836" s="193">
        <v>15000</v>
      </c>
      <c r="Q836" s="193">
        <v>15000</v>
      </c>
      <c r="R836" s="193">
        <v>15000</v>
      </c>
      <c r="S836" s="193">
        <v>15000</v>
      </c>
      <c r="T836" s="193">
        <v>15000</v>
      </c>
      <c r="V836" s="487"/>
      <c r="W836" s="488"/>
      <c r="X836" s="488"/>
      <c r="Y836" s="488"/>
    </row>
    <row r="837" spans="1:27" ht="24" customHeight="1">
      <c r="A837" s="320" t="s">
        <v>692</v>
      </c>
      <c r="B837" s="321"/>
      <c r="C837" s="321"/>
      <c r="D837" s="320" t="s">
        <v>489</v>
      </c>
      <c r="E837" s="321"/>
      <c r="F837" s="321"/>
      <c r="G837" s="321"/>
      <c r="H837" s="321"/>
      <c r="I837" s="321"/>
      <c r="J837" s="321"/>
      <c r="K837" s="321"/>
      <c r="L837" s="266">
        <v>18431</v>
      </c>
      <c r="M837" s="266">
        <v>13691</v>
      </c>
      <c r="N837" s="194">
        <v>20000</v>
      </c>
      <c r="O837" s="194">
        <v>23000</v>
      </c>
      <c r="P837" s="193">
        <v>25000</v>
      </c>
      <c r="Q837" s="193">
        <v>25000</v>
      </c>
      <c r="R837" s="193">
        <v>25000</v>
      </c>
      <c r="S837" s="193">
        <v>25000</v>
      </c>
      <c r="T837" s="193">
        <v>25000</v>
      </c>
      <c r="V837" s="487"/>
      <c r="W837" s="488"/>
      <c r="X837" s="488"/>
      <c r="Y837" s="488"/>
    </row>
    <row r="838" spans="1:27" ht="24" customHeight="1">
      <c r="A838" s="320" t="s">
        <v>693</v>
      </c>
      <c r="B838" s="321"/>
      <c r="C838" s="321"/>
      <c r="D838" s="320" t="s">
        <v>490</v>
      </c>
      <c r="E838" s="321"/>
      <c r="F838" s="321"/>
      <c r="G838" s="321"/>
      <c r="H838" s="321"/>
      <c r="I838" s="321"/>
      <c r="J838" s="321"/>
      <c r="K838" s="321"/>
      <c r="L838" s="262">
        <v>11047</v>
      </c>
      <c r="M838" s="262">
        <v>15938</v>
      </c>
      <c r="N838" s="186">
        <v>25000</v>
      </c>
      <c r="O838" s="186">
        <v>12000</v>
      </c>
      <c r="P838" s="185">
        <v>25000</v>
      </c>
      <c r="Q838" s="185">
        <v>25000</v>
      </c>
      <c r="R838" s="185">
        <v>25000</v>
      </c>
      <c r="S838" s="185">
        <v>25000</v>
      </c>
      <c r="T838" s="185">
        <v>25000</v>
      </c>
      <c r="V838" s="487"/>
      <c r="W838" s="488"/>
      <c r="X838" s="488"/>
      <c r="Y838" s="488"/>
    </row>
    <row r="839" spans="1:27" ht="24" customHeight="1">
      <c r="A839" s="320" t="s">
        <v>694</v>
      </c>
      <c r="B839" s="321"/>
      <c r="C839" s="321"/>
      <c r="D839" s="320" t="s">
        <v>8</v>
      </c>
      <c r="E839" s="321"/>
      <c r="F839" s="321"/>
      <c r="G839" s="321"/>
      <c r="H839" s="321"/>
      <c r="I839" s="321"/>
      <c r="J839" s="321"/>
      <c r="K839" s="321"/>
      <c r="L839" s="264">
        <v>24704</v>
      </c>
      <c r="M839" s="264">
        <v>28294</v>
      </c>
      <c r="N839" s="189">
        <v>32686</v>
      </c>
      <c r="O839" s="189">
        <v>32686</v>
      </c>
      <c r="P839" s="188">
        <v>32089</v>
      </c>
      <c r="Q839" s="188">
        <v>33390</v>
      </c>
      <c r="R839" s="188">
        <v>36616</v>
      </c>
      <c r="S839" s="188">
        <v>40173</v>
      </c>
      <c r="T839" s="188">
        <v>44086</v>
      </c>
      <c r="V839" s="487"/>
      <c r="W839" s="488"/>
      <c r="X839" s="488"/>
      <c r="Y839" s="488"/>
      <c r="AA839" s="187"/>
    </row>
    <row r="840" spans="1:27" ht="24" customHeight="1">
      <c r="A840" s="320" t="s">
        <v>695</v>
      </c>
      <c r="B840" s="255"/>
      <c r="C840" s="255"/>
      <c r="D840" s="320" t="s">
        <v>9</v>
      </c>
      <c r="E840" s="255"/>
      <c r="F840" s="255"/>
      <c r="G840" s="255"/>
      <c r="H840" s="255"/>
      <c r="I840" s="255"/>
      <c r="J840" s="255"/>
      <c r="K840" s="255"/>
      <c r="L840" s="264">
        <v>18637</v>
      </c>
      <c r="M840" s="264">
        <v>20639</v>
      </c>
      <c r="N840" s="189">
        <v>26576</v>
      </c>
      <c r="O840" s="189">
        <v>26576</v>
      </c>
      <c r="P840" s="196">
        <v>26362</v>
      </c>
      <c r="Q840" s="196">
        <v>27285</v>
      </c>
      <c r="R840" s="196">
        <v>28240</v>
      </c>
      <c r="S840" s="196">
        <v>29228</v>
      </c>
      <c r="T840" s="196">
        <v>30251</v>
      </c>
      <c r="V840" s="487"/>
      <c r="W840" s="488"/>
      <c r="X840" s="488"/>
      <c r="Y840" s="488"/>
      <c r="AA840" s="187"/>
    </row>
    <row r="841" spans="1:27" ht="24" customHeight="1">
      <c r="A841" s="320" t="s">
        <v>696</v>
      </c>
      <c r="B841" s="255"/>
      <c r="C841" s="255"/>
      <c r="D841" s="320" t="s">
        <v>13</v>
      </c>
      <c r="E841" s="255"/>
      <c r="F841" s="255"/>
      <c r="G841" s="255"/>
      <c r="H841" s="255"/>
      <c r="I841" s="255"/>
      <c r="J841" s="255"/>
      <c r="K841" s="255"/>
      <c r="L841" s="264">
        <v>42511</v>
      </c>
      <c r="M841" s="264">
        <v>62448</v>
      </c>
      <c r="N841" s="189">
        <v>100027</v>
      </c>
      <c r="O841" s="189">
        <v>100027</v>
      </c>
      <c r="P841" s="193">
        <v>83769</v>
      </c>
      <c r="Q841" s="193">
        <v>90471</v>
      </c>
      <c r="R841" s="193">
        <v>97709</v>
      </c>
      <c r="S841" s="193">
        <v>105526</v>
      </c>
      <c r="T841" s="193">
        <v>113968</v>
      </c>
      <c r="V841" s="487"/>
      <c r="W841" s="488"/>
      <c r="X841" s="487"/>
      <c r="Y841" s="488"/>
      <c r="AA841" s="187"/>
    </row>
    <row r="842" spans="1:27" ht="24" customHeight="1">
      <c r="A842" s="320" t="s">
        <v>697</v>
      </c>
      <c r="B842" s="255"/>
      <c r="C842" s="255"/>
      <c r="D842" s="320" t="s">
        <v>187</v>
      </c>
      <c r="E842" s="255"/>
      <c r="F842" s="255"/>
      <c r="G842" s="255"/>
      <c r="H842" s="255"/>
      <c r="I842" s="255"/>
      <c r="J842" s="255"/>
      <c r="K842" s="255"/>
      <c r="L842" s="264">
        <v>440</v>
      </c>
      <c r="M842" s="264">
        <v>524</v>
      </c>
      <c r="N842" s="189">
        <v>673</v>
      </c>
      <c r="O842" s="189">
        <v>673</v>
      </c>
      <c r="P842" s="193">
        <v>588</v>
      </c>
      <c r="Q842" s="193">
        <v>594</v>
      </c>
      <c r="R842" s="193">
        <v>600</v>
      </c>
      <c r="S842" s="193">
        <v>606</v>
      </c>
      <c r="T842" s="193">
        <v>612</v>
      </c>
      <c r="V842" s="487"/>
      <c r="W842" s="488"/>
      <c r="X842" s="487"/>
      <c r="Y842" s="488"/>
      <c r="AA842" s="187"/>
    </row>
    <row r="843" spans="1:27" ht="24" customHeight="1">
      <c r="A843" s="320" t="s">
        <v>698</v>
      </c>
      <c r="B843" s="255"/>
      <c r="C843" s="255"/>
      <c r="D843" s="320" t="s">
        <v>652</v>
      </c>
      <c r="E843" s="255"/>
      <c r="F843" s="255"/>
      <c r="G843" s="255"/>
      <c r="H843" s="255"/>
      <c r="I843" s="255"/>
      <c r="J843" s="255"/>
      <c r="K843" s="255"/>
      <c r="L843" s="264">
        <v>2566</v>
      </c>
      <c r="M843" s="264">
        <v>3360</v>
      </c>
      <c r="N843" s="189">
        <v>5397</v>
      </c>
      <c r="O843" s="189">
        <v>5397</v>
      </c>
      <c r="P843" s="193">
        <v>5139</v>
      </c>
      <c r="Q843" s="193">
        <v>5396</v>
      </c>
      <c r="R843" s="193">
        <v>5666</v>
      </c>
      <c r="S843" s="193">
        <v>5949</v>
      </c>
      <c r="T843" s="193">
        <v>6246</v>
      </c>
      <c r="V843" s="487"/>
      <c r="W843" s="488"/>
      <c r="X843" s="487"/>
      <c r="Y843" s="488"/>
      <c r="AA843" s="187"/>
    </row>
    <row r="844" spans="1:27" ht="24" customHeight="1">
      <c r="A844" s="320" t="s">
        <v>699</v>
      </c>
      <c r="B844" s="255"/>
      <c r="C844" s="255"/>
      <c r="D844" s="320" t="s">
        <v>654</v>
      </c>
      <c r="E844" s="255"/>
      <c r="F844" s="255"/>
      <c r="G844" s="255"/>
      <c r="H844" s="255"/>
      <c r="I844" s="255"/>
      <c r="J844" s="255"/>
      <c r="K844" s="255"/>
      <c r="L844" s="264">
        <v>296</v>
      </c>
      <c r="M844" s="264">
        <v>491</v>
      </c>
      <c r="N844" s="189">
        <v>695</v>
      </c>
      <c r="O844" s="189">
        <v>695</v>
      </c>
      <c r="P844" s="193">
        <v>552</v>
      </c>
      <c r="Q844" s="193">
        <v>569</v>
      </c>
      <c r="R844" s="193">
        <v>586</v>
      </c>
      <c r="S844" s="193">
        <v>604</v>
      </c>
      <c r="T844" s="193">
        <v>622</v>
      </c>
      <c r="V844" s="487"/>
      <c r="W844" s="488"/>
      <c r="X844" s="487"/>
      <c r="Y844" s="488"/>
      <c r="AA844" s="187"/>
    </row>
    <row r="845" spans="1:27" ht="24" customHeight="1">
      <c r="A845" s="320" t="s">
        <v>700</v>
      </c>
      <c r="B845" s="321"/>
      <c r="C845" s="321"/>
      <c r="D845" s="320" t="s">
        <v>96</v>
      </c>
      <c r="E845" s="321"/>
      <c r="F845" s="321"/>
      <c r="G845" s="321"/>
      <c r="H845" s="321"/>
      <c r="I845" s="321"/>
      <c r="J845" s="321"/>
      <c r="K845" s="321"/>
      <c r="L845" s="264">
        <v>1144</v>
      </c>
      <c r="M845" s="264">
        <v>1191</v>
      </c>
      <c r="N845" s="189">
        <v>5000</v>
      </c>
      <c r="O845" s="189">
        <v>5000</v>
      </c>
      <c r="P845" s="188">
        <v>5000</v>
      </c>
      <c r="Q845" s="188">
        <v>5000</v>
      </c>
      <c r="R845" s="188">
        <v>5000</v>
      </c>
      <c r="S845" s="188">
        <v>5000</v>
      </c>
      <c r="T845" s="188">
        <v>5000</v>
      </c>
    </row>
    <row r="846" spans="1:27" ht="24" customHeight="1">
      <c r="A846" s="320" t="s">
        <v>701</v>
      </c>
      <c r="B846" s="321"/>
      <c r="C846" s="321"/>
      <c r="D846" s="320" t="s">
        <v>1166</v>
      </c>
      <c r="E846" s="321"/>
      <c r="F846" s="321"/>
      <c r="G846" s="321"/>
      <c r="H846" s="321"/>
      <c r="I846" s="321"/>
      <c r="J846" s="321"/>
      <c r="K846" s="321"/>
      <c r="L846" s="264">
        <v>453</v>
      </c>
      <c r="M846" s="264">
        <v>114</v>
      </c>
      <c r="N846" s="189">
        <v>3000</v>
      </c>
      <c r="O846" s="189">
        <v>3000</v>
      </c>
      <c r="P846" s="188">
        <v>3000</v>
      </c>
      <c r="Q846" s="188">
        <v>3000</v>
      </c>
      <c r="R846" s="188">
        <v>3000</v>
      </c>
      <c r="S846" s="188">
        <v>3000</v>
      </c>
      <c r="T846" s="188">
        <v>3000</v>
      </c>
      <c r="V846" s="487"/>
      <c r="W846" s="488"/>
      <c r="X846" s="703"/>
    </row>
    <row r="847" spans="1:27" ht="24" customHeight="1">
      <c r="A847" s="320" t="s">
        <v>702</v>
      </c>
      <c r="B847" s="321"/>
      <c r="C847" s="321"/>
      <c r="D847" s="320" t="s">
        <v>95</v>
      </c>
      <c r="E847" s="321"/>
      <c r="F847" s="321"/>
      <c r="G847" s="321"/>
      <c r="H847" s="321"/>
      <c r="I847" s="321"/>
      <c r="J847" s="321"/>
      <c r="K847" s="321"/>
      <c r="L847" s="262">
        <v>24745</v>
      </c>
      <c r="M847" s="262">
        <v>28259</v>
      </c>
      <c r="N847" s="186">
        <v>40000</v>
      </c>
      <c r="O847" s="186">
        <v>40000</v>
      </c>
      <c r="P847" s="185">
        <v>40000</v>
      </c>
      <c r="Q847" s="185">
        <v>40000</v>
      </c>
      <c r="R847" s="185">
        <v>40000</v>
      </c>
      <c r="S847" s="185">
        <v>40000</v>
      </c>
      <c r="T847" s="185">
        <v>40000</v>
      </c>
    </row>
    <row r="848" spans="1:27" ht="24" customHeight="1">
      <c r="A848" s="320" t="s">
        <v>703</v>
      </c>
      <c r="B848" s="255"/>
      <c r="C848" s="255"/>
      <c r="D848" s="320" t="s">
        <v>240</v>
      </c>
      <c r="E848" s="255"/>
      <c r="F848" s="255"/>
      <c r="G848" s="255"/>
      <c r="H848" s="255"/>
      <c r="I848" s="255"/>
      <c r="J848" s="255"/>
      <c r="K848" s="255"/>
      <c r="L848" s="264">
        <v>2922</v>
      </c>
      <c r="M848" s="264">
        <v>6573</v>
      </c>
      <c r="N848" s="189">
        <v>7000</v>
      </c>
      <c r="O848" s="189">
        <v>7000</v>
      </c>
      <c r="P848" s="188">
        <v>7000</v>
      </c>
      <c r="Q848" s="188">
        <v>7000</v>
      </c>
      <c r="R848" s="188">
        <v>7000</v>
      </c>
      <c r="S848" s="188">
        <v>7000</v>
      </c>
      <c r="T848" s="188">
        <v>7000</v>
      </c>
      <c r="V848" s="187"/>
    </row>
    <row r="849" spans="1:22" ht="24" customHeight="1">
      <c r="A849" s="320" t="s">
        <v>704</v>
      </c>
      <c r="B849" s="255"/>
      <c r="C849" s="255"/>
      <c r="D849" s="320" t="s">
        <v>491</v>
      </c>
      <c r="E849" s="255"/>
      <c r="F849" s="255"/>
      <c r="G849" s="255"/>
      <c r="H849" s="255"/>
      <c r="I849" s="255"/>
      <c r="J849" s="255"/>
      <c r="K849" s="255"/>
      <c r="L849" s="264">
        <v>803</v>
      </c>
      <c r="M849" s="264">
        <v>585</v>
      </c>
      <c r="N849" s="189">
        <v>2500</v>
      </c>
      <c r="O849" s="189">
        <v>2500</v>
      </c>
      <c r="P849" s="188">
        <v>2500</v>
      </c>
      <c r="Q849" s="188">
        <v>2500</v>
      </c>
      <c r="R849" s="188">
        <v>2500</v>
      </c>
      <c r="S849" s="188">
        <v>2500</v>
      </c>
      <c r="T849" s="188">
        <v>2500</v>
      </c>
    </row>
    <row r="850" spans="1:22" ht="24" customHeight="1">
      <c r="A850" s="320" t="s">
        <v>705</v>
      </c>
      <c r="B850" s="321"/>
      <c r="C850" s="321"/>
      <c r="D850" s="320" t="s">
        <v>94</v>
      </c>
      <c r="E850" s="321"/>
      <c r="F850" s="321"/>
      <c r="G850" s="321"/>
      <c r="H850" s="321"/>
      <c r="I850" s="321"/>
      <c r="J850" s="321"/>
      <c r="K850" s="321"/>
      <c r="L850" s="264">
        <v>2188</v>
      </c>
      <c r="M850" s="264">
        <v>1694</v>
      </c>
      <c r="N850" s="189">
        <v>4000</v>
      </c>
      <c r="O850" s="189">
        <v>4000</v>
      </c>
      <c r="P850" s="188">
        <v>3500</v>
      </c>
      <c r="Q850" s="188">
        <v>3500</v>
      </c>
      <c r="R850" s="188">
        <v>3500</v>
      </c>
      <c r="S850" s="188">
        <v>3500</v>
      </c>
      <c r="T850" s="188">
        <v>3500</v>
      </c>
    </row>
    <row r="851" spans="1:22" ht="24" customHeight="1">
      <c r="A851" s="320" t="s">
        <v>1133</v>
      </c>
      <c r="B851" s="255"/>
      <c r="C851" s="255"/>
      <c r="D851" s="320" t="s">
        <v>1168</v>
      </c>
      <c r="E851" s="255"/>
      <c r="F851" s="255"/>
      <c r="G851" s="255"/>
      <c r="H851" s="255"/>
      <c r="I851" s="255"/>
      <c r="J851" s="255"/>
      <c r="K851" s="255"/>
      <c r="L851" s="285">
        <v>1454</v>
      </c>
      <c r="M851" s="285">
        <v>1688</v>
      </c>
      <c r="N851" s="224">
        <v>2500</v>
      </c>
      <c r="O851" s="224">
        <v>2500</v>
      </c>
      <c r="P851" s="223">
        <v>2500</v>
      </c>
      <c r="Q851" s="223">
        <v>2500</v>
      </c>
      <c r="R851" s="223">
        <v>2500</v>
      </c>
      <c r="S851" s="223">
        <v>2500</v>
      </c>
      <c r="T851" s="223">
        <v>2500</v>
      </c>
    </row>
    <row r="852" spans="1:22" ht="24" customHeight="1">
      <c r="A852" s="320" t="s">
        <v>706</v>
      </c>
      <c r="B852" s="255"/>
      <c r="C852" s="255"/>
      <c r="D852" s="320" t="s">
        <v>10</v>
      </c>
      <c r="E852" s="525"/>
      <c r="F852" s="525"/>
      <c r="G852" s="525"/>
      <c r="H852" s="525"/>
      <c r="I852" s="525"/>
      <c r="J852" s="525"/>
      <c r="K852" s="525"/>
      <c r="L852" s="264">
        <v>60998</v>
      </c>
      <c r="M852" s="264">
        <v>75999</v>
      </c>
      <c r="N852" s="189">
        <v>75000</v>
      </c>
      <c r="O852" s="189">
        <v>75000</v>
      </c>
      <c r="P852" s="188">
        <v>75000</v>
      </c>
      <c r="Q852" s="188">
        <v>75000</v>
      </c>
      <c r="R852" s="188">
        <v>75000</v>
      </c>
      <c r="S852" s="188">
        <v>75000</v>
      </c>
      <c r="T852" s="188">
        <v>75000</v>
      </c>
      <c r="V852" s="190"/>
    </row>
    <row r="853" spans="1:22" ht="24" customHeight="1">
      <c r="A853" s="320" t="s">
        <v>707</v>
      </c>
      <c r="B853" s="321"/>
      <c r="C853" s="424"/>
      <c r="D853" s="320" t="s">
        <v>17</v>
      </c>
      <c r="E853" s="424"/>
      <c r="F853" s="424"/>
      <c r="G853" s="424"/>
      <c r="H853" s="424"/>
      <c r="I853" s="424"/>
      <c r="J853" s="424"/>
      <c r="K853" s="424"/>
      <c r="L853" s="262">
        <v>12869</v>
      </c>
      <c r="M853" s="262">
        <v>12224</v>
      </c>
      <c r="N853" s="186">
        <v>23000</v>
      </c>
      <c r="O853" s="186">
        <v>23000</v>
      </c>
      <c r="P853" s="188">
        <f>18000+2000</f>
        <v>20000</v>
      </c>
      <c r="Q853" s="188">
        <f t="shared" ref="Q853:T853" si="231">ROUND(P853*1.06,0)</f>
        <v>21200</v>
      </c>
      <c r="R853" s="188">
        <f t="shared" si="231"/>
        <v>22472</v>
      </c>
      <c r="S853" s="188">
        <f t="shared" si="231"/>
        <v>23820</v>
      </c>
      <c r="T853" s="188">
        <f t="shared" si="231"/>
        <v>25249</v>
      </c>
      <c r="V853" s="190"/>
    </row>
    <row r="854" spans="1:22" ht="24" customHeight="1">
      <c r="A854" s="320" t="s">
        <v>708</v>
      </c>
      <c r="B854" s="321"/>
      <c r="C854" s="321"/>
      <c r="D854" s="320" t="s">
        <v>91</v>
      </c>
      <c r="E854" s="321"/>
      <c r="F854" s="321"/>
      <c r="G854" s="321"/>
      <c r="H854" s="321"/>
      <c r="I854" s="321"/>
      <c r="J854" s="321"/>
      <c r="K854" s="321"/>
      <c r="L854" s="264">
        <v>2408</v>
      </c>
      <c r="M854" s="264">
        <v>4035</v>
      </c>
      <c r="N854" s="189">
        <v>4500</v>
      </c>
      <c r="O854" s="189">
        <v>4500</v>
      </c>
      <c r="P854" s="188">
        <v>4500</v>
      </c>
      <c r="Q854" s="188">
        <v>4500</v>
      </c>
      <c r="R854" s="188">
        <v>4500</v>
      </c>
      <c r="S854" s="188">
        <v>4500</v>
      </c>
      <c r="T854" s="188">
        <v>4500</v>
      </c>
    </row>
    <row r="855" spans="1:22" ht="24" customHeight="1">
      <c r="A855" s="320" t="s">
        <v>709</v>
      </c>
      <c r="B855" s="321"/>
      <c r="C855" s="321"/>
      <c r="D855" s="320" t="s">
        <v>1170</v>
      </c>
      <c r="E855" s="321"/>
      <c r="F855" s="321"/>
      <c r="G855" s="321"/>
      <c r="H855" s="321"/>
      <c r="I855" s="321"/>
      <c r="J855" s="321"/>
      <c r="K855" s="321"/>
      <c r="L855" s="281">
        <v>50</v>
      </c>
      <c r="M855" s="281">
        <v>23816</v>
      </c>
      <c r="N855" s="225">
        <v>3000</v>
      </c>
      <c r="O855" s="225">
        <v>3000</v>
      </c>
      <c r="P855" s="217">
        <v>3000</v>
      </c>
      <c r="Q855" s="217">
        <v>3000</v>
      </c>
      <c r="R855" s="217">
        <v>3000</v>
      </c>
      <c r="S855" s="217">
        <v>3000</v>
      </c>
      <c r="T855" s="217">
        <v>3000</v>
      </c>
      <c r="V855" s="190"/>
    </row>
    <row r="856" spans="1:22" ht="24" customHeight="1">
      <c r="A856" s="320" t="s">
        <v>710</v>
      </c>
      <c r="B856" s="321"/>
      <c r="C856" s="321"/>
      <c r="D856" s="320" t="s">
        <v>492</v>
      </c>
      <c r="E856" s="321"/>
      <c r="F856" s="321"/>
      <c r="G856" s="321"/>
      <c r="H856" s="321"/>
      <c r="I856" s="321"/>
      <c r="J856" s="321"/>
      <c r="K856" s="321"/>
      <c r="L856" s="281">
        <v>9033</v>
      </c>
      <c r="M856" s="281">
        <v>8475</v>
      </c>
      <c r="N856" s="225">
        <v>7000</v>
      </c>
      <c r="O856" s="225">
        <v>7000</v>
      </c>
      <c r="P856" s="217">
        <v>7000</v>
      </c>
      <c r="Q856" s="217">
        <v>7000</v>
      </c>
      <c r="R856" s="217">
        <v>7000</v>
      </c>
      <c r="S856" s="217">
        <v>7000</v>
      </c>
      <c r="T856" s="217">
        <v>7000</v>
      </c>
    </row>
    <row r="857" spans="1:22" ht="24" customHeight="1">
      <c r="A857" s="320" t="s">
        <v>1089</v>
      </c>
      <c r="B857" s="321"/>
      <c r="C857" s="321"/>
      <c r="D857" s="320" t="s">
        <v>523</v>
      </c>
      <c r="E857" s="321"/>
      <c r="F857" s="321"/>
      <c r="G857" s="321"/>
      <c r="H857" s="321"/>
      <c r="I857" s="321"/>
      <c r="J857" s="321"/>
      <c r="K857" s="321"/>
      <c r="L857" s="281">
        <v>0</v>
      </c>
      <c r="M857" s="281">
        <v>0</v>
      </c>
      <c r="N857" s="225">
        <v>30000</v>
      </c>
      <c r="O857" s="225">
        <v>21977</v>
      </c>
      <c r="P857" s="217">
        <v>0</v>
      </c>
      <c r="Q857" s="217">
        <v>0</v>
      </c>
      <c r="R857" s="217">
        <v>0</v>
      </c>
      <c r="S857" s="217">
        <v>0</v>
      </c>
      <c r="T857" s="217">
        <v>0</v>
      </c>
      <c r="V857" s="187"/>
    </row>
    <row r="858" spans="1:22" ht="24" customHeight="1">
      <c r="A858" s="320" t="s">
        <v>711</v>
      </c>
      <c r="B858" s="321"/>
      <c r="C858" s="321"/>
      <c r="D858" s="320" t="s">
        <v>493</v>
      </c>
      <c r="E858" s="321"/>
      <c r="F858" s="321"/>
      <c r="G858" s="321"/>
      <c r="H858" s="321"/>
      <c r="I858" s="321"/>
      <c r="J858" s="321"/>
      <c r="K858" s="321"/>
      <c r="L858" s="264">
        <v>91712</v>
      </c>
      <c r="M858" s="264">
        <v>91422</v>
      </c>
      <c r="N858" s="189">
        <v>100000</v>
      </c>
      <c r="O858" s="189">
        <v>90000</v>
      </c>
      <c r="P858" s="188">
        <v>100000</v>
      </c>
      <c r="Q858" s="188">
        <v>100000</v>
      </c>
      <c r="R858" s="188">
        <v>100000</v>
      </c>
      <c r="S858" s="188">
        <v>100000</v>
      </c>
      <c r="T858" s="188">
        <v>100000</v>
      </c>
    </row>
    <row r="859" spans="1:22" ht="24" customHeight="1">
      <c r="A859" s="320" t="s">
        <v>712</v>
      </c>
      <c r="B859" s="321"/>
      <c r="C859" s="321"/>
      <c r="D859" s="320" t="s">
        <v>494</v>
      </c>
      <c r="E859" s="321"/>
      <c r="F859" s="321"/>
      <c r="G859" s="321"/>
      <c r="H859" s="321"/>
      <c r="I859" s="321"/>
      <c r="J859" s="321"/>
      <c r="K859" s="321"/>
      <c r="L859" s="264">
        <v>50603</v>
      </c>
      <c r="M859" s="264">
        <v>62594</v>
      </c>
      <c r="N859" s="189">
        <v>55000</v>
      </c>
      <c r="O859" s="189">
        <v>55000</v>
      </c>
      <c r="P859" s="188">
        <f>55000+10000+10000</f>
        <v>75000</v>
      </c>
      <c r="Q859" s="188">
        <f t="shared" ref="Q859:T859" si="232">55000+10000+10000</f>
        <v>75000</v>
      </c>
      <c r="R859" s="188">
        <f t="shared" si="232"/>
        <v>75000</v>
      </c>
      <c r="S859" s="188">
        <f t="shared" si="232"/>
        <v>75000</v>
      </c>
      <c r="T859" s="188">
        <f t="shared" si="232"/>
        <v>75000</v>
      </c>
    </row>
    <row r="860" spans="1:22" ht="24" customHeight="1">
      <c r="A860" s="320" t="s">
        <v>713</v>
      </c>
      <c r="B860" s="321"/>
      <c r="C860" s="321"/>
      <c r="D860" s="320" t="s">
        <v>495</v>
      </c>
      <c r="E860" s="321"/>
      <c r="F860" s="321"/>
      <c r="G860" s="321"/>
      <c r="H860" s="321"/>
      <c r="I860" s="321"/>
      <c r="J860" s="321"/>
      <c r="K860" s="321"/>
      <c r="L860" s="264">
        <v>17714</v>
      </c>
      <c r="M860" s="264">
        <v>16472</v>
      </c>
      <c r="N860" s="189">
        <v>18000</v>
      </c>
      <c r="O860" s="189">
        <v>18000</v>
      </c>
      <c r="P860" s="188">
        <v>18000</v>
      </c>
      <c r="Q860" s="188">
        <v>18000</v>
      </c>
      <c r="R860" s="188">
        <v>18000</v>
      </c>
      <c r="S860" s="188">
        <v>18000</v>
      </c>
      <c r="T860" s="188">
        <v>18000</v>
      </c>
    </row>
    <row r="861" spans="1:22" ht="24" customHeight="1">
      <c r="A861" s="320" t="s">
        <v>714</v>
      </c>
      <c r="B861" s="321"/>
      <c r="C861" s="321"/>
      <c r="D861" s="320" t="s">
        <v>11</v>
      </c>
      <c r="E861" s="321"/>
      <c r="F861" s="321"/>
      <c r="G861" s="321"/>
      <c r="H861" s="321"/>
      <c r="I861" s="321"/>
      <c r="J861" s="321"/>
      <c r="K861" s="321"/>
      <c r="L861" s="264">
        <v>2503</v>
      </c>
      <c r="M861" s="264">
        <v>1993</v>
      </c>
      <c r="N861" s="189">
        <v>3000</v>
      </c>
      <c r="O861" s="189">
        <v>3000</v>
      </c>
      <c r="P861" s="188">
        <v>3000</v>
      </c>
      <c r="Q861" s="188">
        <v>3000</v>
      </c>
      <c r="R861" s="188">
        <v>3000</v>
      </c>
      <c r="S861" s="188">
        <v>3000</v>
      </c>
      <c r="T861" s="188">
        <v>3000</v>
      </c>
    </row>
    <row r="862" spans="1:22" ht="24" customHeight="1">
      <c r="A862" s="320" t="s">
        <v>715</v>
      </c>
      <c r="B862" s="321"/>
      <c r="C862" s="321"/>
      <c r="D862" s="320" t="s">
        <v>12</v>
      </c>
      <c r="E862" s="321"/>
      <c r="F862" s="321"/>
      <c r="G862" s="321"/>
      <c r="H862" s="321"/>
      <c r="I862" s="321"/>
      <c r="J862" s="321"/>
      <c r="K862" s="321"/>
      <c r="L862" s="264">
        <v>19426</v>
      </c>
      <c r="M862" s="264">
        <v>21325</v>
      </c>
      <c r="N862" s="189">
        <v>7500</v>
      </c>
      <c r="O862" s="189">
        <v>7500</v>
      </c>
      <c r="P862" s="188">
        <v>7500</v>
      </c>
      <c r="Q862" s="188">
        <v>7500</v>
      </c>
      <c r="R862" s="188">
        <v>7500</v>
      </c>
      <c r="S862" s="188">
        <v>7500</v>
      </c>
      <c r="T862" s="188">
        <v>7500</v>
      </c>
    </row>
    <row r="863" spans="1:22" ht="24" customHeight="1">
      <c r="A863" s="320" t="s">
        <v>716</v>
      </c>
      <c r="B863" s="321"/>
      <c r="C863" s="321"/>
      <c r="D863" s="320" t="s">
        <v>16</v>
      </c>
      <c r="E863" s="321"/>
      <c r="F863" s="321"/>
      <c r="G863" s="321"/>
      <c r="H863" s="321"/>
      <c r="I863" s="321"/>
      <c r="J863" s="321"/>
      <c r="K863" s="321"/>
      <c r="L863" s="262">
        <v>0</v>
      </c>
      <c r="M863" s="262">
        <v>0</v>
      </c>
      <c r="N863" s="186">
        <v>1000</v>
      </c>
      <c r="O863" s="186">
        <v>1000</v>
      </c>
      <c r="P863" s="185">
        <v>1000</v>
      </c>
      <c r="Q863" s="185">
        <v>1000</v>
      </c>
      <c r="R863" s="185">
        <v>1000</v>
      </c>
      <c r="S863" s="185">
        <v>1000</v>
      </c>
      <c r="T863" s="185">
        <v>1000</v>
      </c>
    </row>
    <row r="864" spans="1:22" ht="24" customHeight="1">
      <c r="A864" s="320" t="s">
        <v>717</v>
      </c>
      <c r="B864" s="321"/>
      <c r="C864" s="321"/>
      <c r="D864" s="320" t="s">
        <v>249</v>
      </c>
      <c r="E864" s="321"/>
      <c r="F864" s="321"/>
      <c r="G864" s="321"/>
      <c r="H864" s="321"/>
      <c r="I864" s="321"/>
      <c r="J864" s="321"/>
      <c r="K864" s="321"/>
      <c r="L864" s="266">
        <v>616</v>
      </c>
      <c r="M864" s="266">
        <v>0</v>
      </c>
      <c r="N864" s="194">
        <v>500</v>
      </c>
      <c r="O864" s="194">
        <v>500</v>
      </c>
      <c r="P864" s="193">
        <v>500</v>
      </c>
      <c r="Q864" s="193">
        <v>500</v>
      </c>
      <c r="R864" s="193">
        <v>500</v>
      </c>
      <c r="S864" s="193">
        <v>500</v>
      </c>
      <c r="T864" s="193">
        <v>500</v>
      </c>
    </row>
    <row r="865" spans="1:22" ht="24" customHeight="1">
      <c r="A865" s="320" t="s">
        <v>718</v>
      </c>
      <c r="B865" s="321"/>
      <c r="C865" s="321"/>
      <c r="D865" s="320" t="s">
        <v>1169</v>
      </c>
      <c r="E865" s="321"/>
      <c r="F865" s="321"/>
      <c r="G865" s="321"/>
      <c r="H865" s="321"/>
      <c r="I865" s="321"/>
      <c r="J865" s="321"/>
      <c r="K865" s="321"/>
      <c r="L865" s="266">
        <v>132</v>
      </c>
      <c r="M865" s="266">
        <v>1527</v>
      </c>
      <c r="N865" s="194">
        <v>2000</v>
      </c>
      <c r="O865" s="194">
        <v>2000</v>
      </c>
      <c r="P865" s="193">
        <f>2000</f>
        <v>2000</v>
      </c>
      <c r="Q865" s="193">
        <f>2000</f>
        <v>2000</v>
      </c>
      <c r="R865" s="193">
        <f>2000</f>
        <v>2000</v>
      </c>
      <c r="S865" s="193">
        <f>2000</f>
        <v>2000</v>
      </c>
      <c r="T865" s="193">
        <f>2000</f>
        <v>2000</v>
      </c>
    </row>
    <row r="866" spans="1:22" ht="24" customHeight="1">
      <c r="A866" s="320" t="s">
        <v>719</v>
      </c>
      <c r="B866" s="321"/>
      <c r="C866" s="321"/>
      <c r="D866" s="320" t="s">
        <v>145</v>
      </c>
      <c r="E866" s="321"/>
      <c r="F866" s="321"/>
      <c r="G866" s="321"/>
      <c r="H866" s="321"/>
      <c r="I866" s="321"/>
      <c r="J866" s="321"/>
      <c r="K866" s="321"/>
      <c r="L866" s="265">
        <v>1437</v>
      </c>
      <c r="M866" s="265">
        <v>739</v>
      </c>
      <c r="N866" s="195">
        <v>3210</v>
      </c>
      <c r="O866" s="195">
        <v>3210</v>
      </c>
      <c r="P866" s="192">
        <v>2000</v>
      </c>
      <c r="Q866" s="192">
        <f t="shared" ref="Q866:T866" si="233">ROUND(P866*1.07,0)</f>
        <v>2140</v>
      </c>
      <c r="R866" s="192">
        <f t="shared" si="233"/>
        <v>2290</v>
      </c>
      <c r="S866" s="192">
        <f t="shared" si="233"/>
        <v>2450</v>
      </c>
      <c r="T866" s="192">
        <f t="shared" si="233"/>
        <v>2622</v>
      </c>
      <c r="V866" s="190"/>
    </row>
    <row r="867" spans="1:22" ht="24" customHeight="1">
      <c r="A867" s="320" t="s">
        <v>1092</v>
      </c>
      <c r="B867" s="321"/>
      <c r="C867" s="321"/>
      <c r="D867" s="320" t="s">
        <v>1093</v>
      </c>
      <c r="E867" s="321"/>
      <c r="F867" s="321"/>
      <c r="G867" s="321"/>
      <c r="H867" s="321"/>
      <c r="I867" s="321"/>
      <c r="J867" s="321"/>
      <c r="K867" s="321"/>
      <c r="L867" s="270">
        <v>0</v>
      </c>
      <c r="M867" s="270">
        <v>489043</v>
      </c>
      <c r="N867" s="202">
        <v>0</v>
      </c>
      <c r="O867" s="202">
        <v>0</v>
      </c>
      <c r="P867" s="201">
        <f t="shared" ref="P867:S867" si="234">P890</f>
        <v>0</v>
      </c>
      <c r="Q867" s="201">
        <f t="shared" si="234"/>
        <v>0</v>
      </c>
      <c r="R867" s="201">
        <f t="shared" si="234"/>
        <v>0</v>
      </c>
      <c r="S867" s="201">
        <f t="shared" si="234"/>
        <v>0</v>
      </c>
      <c r="T867" s="201">
        <f t="shared" ref="T867" si="235">T890</f>
        <v>0</v>
      </c>
      <c r="V867" s="190"/>
    </row>
    <row r="868" spans="1:22" s="255" customFormat="1" ht="24" customHeight="1">
      <c r="A868" s="320"/>
      <c r="B868" s="321"/>
      <c r="C868" s="321"/>
      <c r="D868" s="320"/>
      <c r="E868" s="321"/>
      <c r="F868" s="321"/>
      <c r="G868" s="321"/>
      <c r="H868" s="321"/>
      <c r="I868" s="321"/>
      <c r="J868" s="321"/>
      <c r="K868" s="321"/>
      <c r="L868" s="289">
        <f>SUM(L833:L867)</f>
        <v>643766</v>
      </c>
      <c r="M868" s="289">
        <f>SUM(M833:M867)</f>
        <v>1245168</v>
      </c>
      <c r="N868" s="305">
        <f t="shared" ref="N868:R868" si="236">SUM(N833:N867)</f>
        <v>918847</v>
      </c>
      <c r="O868" s="305">
        <f t="shared" ref="O868" si="237">SUM(O833:O867)</f>
        <v>854041</v>
      </c>
      <c r="P868" s="289">
        <f t="shared" si="236"/>
        <v>883936</v>
      </c>
      <c r="Q868" s="289">
        <f t="shared" si="236"/>
        <v>903692</v>
      </c>
      <c r="R868" s="289">
        <f t="shared" si="236"/>
        <v>926358</v>
      </c>
      <c r="S868" s="289">
        <f>SUM(S833:S867)</f>
        <v>950401</v>
      </c>
      <c r="T868" s="289">
        <f>SUM(T833:T867)</f>
        <v>975912</v>
      </c>
      <c r="U868" s="542"/>
    </row>
    <row r="869" spans="1:22" s="255" customFormat="1" ht="15" customHeight="1">
      <c r="A869" s="320"/>
      <c r="B869" s="321"/>
      <c r="C869" s="321"/>
      <c r="D869" s="320"/>
      <c r="E869" s="321"/>
      <c r="F869" s="321"/>
      <c r="G869" s="321"/>
      <c r="H869" s="321"/>
      <c r="I869" s="321"/>
      <c r="J869" s="321"/>
      <c r="K869" s="321"/>
      <c r="L869" s="289"/>
      <c r="M869" s="289"/>
      <c r="N869" s="305"/>
      <c r="O869" s="305"/>
      <c r="P869" s="289"/>
      <c r="Q869" s="289"/>
      <c r="R869" s="289"/>
      <c r="S869" s="289"/>
      <c r="T869" s="289"/>
      <c r="U869" s="542"/>
    </row>
    <row r="870" spans="1:22" s="255" customFormat="1" ht="24" customHeight="1">
      <c r="K870" s="324" t="s">
        <v>598</v>
      </c>
      <c r="L870" s="290">
        <f t="shared" ref="L870:T870" si="238">L830+L868</f>
        <v>1398256</v>
      </c>
      <c r="M870" s="290">
        <f t="shared" si="238"/>
        <v>2063804</v>
      </c>
      <c r="N870" s="274">
        <f t="shared" si="238"/>
        <v>1911447</v>
      </c>
      <c r="O870" s="274">
        <f t="shared" si="238"/>
        <v>1848641</v>
      </c>
      <c r="P870" s="273">
        <f t="shared" si="238"/>
        <v>1795940</v>
      </c>
      <c r="Q870" s="273">
        <f t="shared" si="238"/>
        <v>1850848</v>
      </c>
      <c r="R870" s="273">
        <f t="shared" si="238"/>
        <v>1912017</v>
      </c>
      <c r="S870" s="273">
        <f t="shared" si="238"/>
        <v>1976890</v>
      </c>
      <c r="T870" s="273">
        <f t="shared" si="238"/>
        <v>2045711</v>
      </c>
      <c r="U870" s="542"/>
    </row>
    <row r="871" spans="1:22" s="255" customFormat="1" ht="15" customHeight="1">
      <c r="L871" s="290"/>
      <c r="M871" s="290"/>
      <c r="N871" s="291"/>
      <c r="O871" s="291"/>
      <c r="P871" s="290"/>
      <c r="Q871" s="290"/>
      <c r="R871" s="290"/>
      <c r="S871" s="290"/>
      <c r="T871" s="290"/>
      <c r="U871" s="542"/>
    </row>
    <row r="872" spans="1:22" s="255" customFormat="1" ht="24" customHeight="1">
      <c r="K872" s="324" t="s">
        <v>599</v>
      </c>
      <c r="L872" s="290">
        <f t="shared" ref="L872:T872" si="239">L803-L870</f>
        <v>40303</v>
      </c>
      <c r="M872" s="290">
        <f t="shared" si="239"/>
        <v>226112</v>
      </c>
      <c r="N872" s="291">
        <f t="shared" si="239"/>
        <v>-145591</v>
      </c>
      <c r="O872" s="291">
        <f t="shared" si="239"/>
        <v>-64385</v>
      </c>
      <c r="P872" s="290">
        <f t="shared" si="239"/>
        <v>-212709</v>
      </c>
      <c r="Q872" s="290">
        <f t="shared" si="239"/>
        <v>8236</v>
      </c>
      <c r="R872" s="290">
        <f t="shared" si="239"/>
        <v>9176</v>
      </c>
      <c r="S872" s="290">
        <f t="shared" si="239"/>
        <v>9731</v>
      </c>
      <c r="T872" s="290">
        <f t="shared" si="239"/>
        <v>10323</v>
      </c>
      <c r="U872" s="542"/>
    </row>
    <row r="873" spans="1:22" s="255" customFormat="1" ht="15" customHeight="1">
      <c r="L873" s="290"/>
      <c r="M873" s="290"/>
      <c r="N873" s="291"/>
      <c r="O873" s="291"/>
      <c r="P873" s="290"/>
      <c r="Q873" s="290"/>
      <c r="R873" s="290"/>
      <c r="S873" s="290"/>
      <c r="T873" s="290"/>
      <c r="U873" s="542"/>
    </row>
    <row r="874" spans="1:22" s="255" customFormat="1" ht="24" customHeight="1">
      <c r="K874" s="329" t="s">
        <v>601</v>
      </c>
      <c r="L874" s="290">
        <v>320370</v>
      </c>
      <c r="M874" s="290">
        <v>546485</v>
      </c>
      <c r="N874" s="291">
        <v>286717</v>
      </c>
      <c r="O874" s="291">
        <f>M874+O872</f>
        <v>482100</v>
      </c>
      <c r="P874" s="290">
        <f>O874+P872</f>
        <v>269391</v>
      </c>
      <c r="Q874" s="290">
        <f>P874+Q872</f>
        <v>277627</v>
      </c>
      <c r="R874" s="290">
        <f>Q874+R872</f>
        <v>286803</v>
      </c>
      <c r="S874" s="290">
        <f>R874+S872</f>
        <v>296534</v>
      </c>
      <c r="T874" s="290">
        <f>S874+T872</f>
        <v>306857</v>
      </c>
      <c r="U874" s="542"/>
    </row>
    <row r="875" spans="1:22" s="333" customFormat="1" ht="24" customHeight="1">
      <c r="K875" s="330"/>
      <c r="L875" s="292">
        <f t="shared" ref="L875" si="240">L874/L870</f>
        <v>0.22912113375519219</v>
      </c>
      <c r="M875" s="292">
        <f t="shared" ref="M875:T875" si="241">M874/M870</f>
        <v>0.26479500960362518</v>
      </c>
      <c r="N875" s="293">
        <f>N874/N870</f>
        <v>0.14999997384180674</v>
      </c>
      <c r="O875" s="293">
        <f t="shared" ref="O875" si="242">O874/O870</f>
        <v>0.26078616670299964</v>
      </c>
      <c r="P875" s="292">
        <f t="shared" si="241"/>
        <v>0.15</v>
      </c>
      <c r="Q875" s="292">
        <f t="shared" si="241"/>
        <v>0.1499998919414236</v>
      </c>
      <c r="R875" s="292">
        <f t="shared" si="241"/>
        <v>0.15000023535355594</v>
      </c>
      <c r="S875" s="292">
        <f t="shared" ref="S875" si="243">S874/S870</f>
        <v>0.15000025292251973</v>
      </c>
      <c r="T875" s="292">
        <f t="shared" si="241"/>
        <v>0.15000017108966027</v>
      </c>
      <c r="U875" s="399"/>
    </row>
    <row r="876" spans="1:22" ht="15" customHeight="1">
      <c r="A876" s="255"/>
      <c r="B876" s="255"/>
      <c r="C876" s="255"/>
      <c r="D876" s="255"/>
      <c r="E876" s="255"/>
      <c r="F876" s="255"/>
      <c r="G876" s="255"/>
      <c r="H876" s="255"/>
      <c r="I876" s="255"/>
      <c r="J876" s="255"/>
      <c r="K876" s="329"/>
      <c r="L876" s="469"/>
      <c r="M876" s="469"/>
      <c r="N876" s="474"/>
      <c r="O876" s="474"/>
      <c r="P876" s="475"/>
      <c r="Q876" s="475"/>
      <c r="R876" s="475"/>
      <c r="S876" s="475"/>
      <c r="T876" s="475"/>
    </row>
    <row r="877" spans="1:22" s="488" customFormat="1" ht="15" customHeight="1">
      <c r="A877" s="385"/>
      <c r="B877" s="385"/>
      <c r="C877" s="385"/>
      <c r="D877" s="385"/>
      <c r="E877" s="385"/>
      <c r="F877" s="385"/>
      <c r="G877" s="385"/>
      <c r="H877" s="385"/>
      <c r="I877" s="385"/>
      <c r="J877" s="385"/>
      <c r="K877" s="385"/>
      <c r="L877" s="609"/>
      <c r="M877" s="609"/>
      <c r="N877" s="632"/>
      <c r="O877" s="632"/>
      <c r="P877" s="610"/>
      <c r="Q877" s="610"/>
      <c r="R877" s="610"/>
      <c r="S877" s="610"/>
      <c r="T877" s="610"/>
      <c r="U877" s="611"/>
      <c r="V877" s="612"/>
    </row>
    <row r="878" spans="1:22" ht="24" customHeight="1">
      <c r="A878" s="331" t="s">
        <v>611</v>
      </c>
      <c r="B878" s="255"/>
      <c r="C878" s="255"/>
      <c r="D878" s="255"/>
      <c r="E878" s="255"/>
      <c r="F878" s="255"/>
      <c r="G878" s="255"/>
      <c r="H878" s="255"/>
      <c r="I878" s="255"/>
      <c r="J878" s="255"/>
      <c r="K878" s="255"/>
      <c r="L878" s="468"/>
      <c r="M878" s="468"/>
      <c r="N878" s="472"/>
      <c r="O878" s="472"/>
      <c r="P878" s="473"/>
      <c r="Q878" s="473"/>
      <c r="R878" s="473"/>
      <c r="S878" s="473"/>
      <c r="T878" s="473"/>
    </row>
    <row r="879" spans="1:22" ht="15" customHeight="1">
      <c r="A879" s="255"/>
      <c r="B879" s="255"/>
      <c r="C879" s="255"/>
      <c r="D879" s="255"/>
      <c r="E879" s="255"/>
      <c r="F879" s="255"/>
      <c r="G879" s="255"/>
      <c r="H879" s="255"/>
      <c r="I879" s="255"/>
      <c r="J879" s="255"/>
      <c r="K879" s="255"/>
      <c r="L879" s="468"/>
      <c r="M879" s="468"/>
      <c r="N879" s="472"/>
      <c r="O879" s="472"/>
      <c r="P879" s="473"/>
      <c r="Q879" s="473"/>
      <c r="R879" s="473"/>
      <c r="S879" s="473"/>
      <c r="T879" s="473"/>
    </row>
    <row r="880" spans="1:22" ht="24" customHeight="1">
      <c r="A880" s="320" t="s">
        <v>1165</v>
      </c>
      <c r="B880" s="321"/>
      <c r="C880" s="321"/>
      <c r="D880" s="320" t="s">
        <v>462</v>
      </c>
      <c r="E880" s="321"/>
      <c r="F880" s="321"/>
      <c r="G880" s="321"/>
      <c r="H880" s="321"/>
      <c r="I880" s="321"/>
      <c r="J880" s="321"/>
      <c r="K880" s="321"/>
      <c r="L880" s="264">
        <v>69175</v>
      </c>
      <c r="M880" s="264">
        <v>3409</v>
      </c>
      <c r="N880" s="189">
        <v>0</v>
      </c>
      <c r="O880" s="189">
        <v>0</v>
      </c>
      <c r="P880" s="188">
        <v>0</v>
      </c>
      <c r="Q880" s="188">
        <v>0</v>
      </c>
      <c r="R880" s="188">
        <v>0</v>
      </c>
      <c r="S880" s="188">
        <v>0</v>
      </c>
      <c r="T880" s="188">
        <v>0</v>
      </c>
    </row>
    <row r="881" spans="1:22" ht="24" customHeight="1">
      <c r="A881" s="320" t="s">
        <v>496</v>
      </c>
      <c r="B881" s="255"/>
      <c r="C881" s="255"/>
      <c r="D881" s="320" t="s">
        <v>464</v>
      </c>
      <c r="E881" s="255"/>
      <c r="F881" s="255"/>
      <c r="G881" s="255"/>
      <c r="H881" s="255"/>
      <c r="I881" s="255"/>
      <c r="J881" s="255"/>
      <c r="K881" s="255"/>
      <c r="L881" s="264">
        <v>8530</v>
      </c>
      <c r="M881" s="264">
        <v>492</v>
      </c>
      <c r="N881" s="189">
        <v>0</v>
      </c>
      <c r="O881" s="189">
        <v>0</v>
      </c>
      <c r="P881" s="188">
        <v>0</v>
      </c>
      <c r="Q881" s="188">
        <v>0</v>
      </c>
      <c r="R881" s="188">
        <v>0</v>
      </c>
      <c r="S881" s="188">
        <v>0</v>
      </c>
      <c r="T881" s="188">
        <v>0</v>
      </c>
    </row>
    <row r="882" spans="1:22" ht="24" customHeight="1">
      <c r="A882" s="320" t="s">
        <v>497</v>
      </c>
      <c r="B882" s="321"/>
      <c r="C882" s="321"/>
      <c r="D882" s="320" t="s">
        <v>498</v>
      </c>
      <c r="E882" s="321"/>
      <c r="F882" s="321"/>
      <c r="G882" s="321"/>
      <c r="H882" s="321"/>
      <c r="I882" s="321"/>
      <c r="J882" s="321"/>
      <c r="K882" s="321"/>
      <c r="L882" s="264">
        <v>378700</v>
      </c>
      <c r="M882" s="264">
        <v>37189</v>
      </c>
      <c r="N882" s="189">
        <v>0</v>
      </c>
      <c r="O882" s="189">
        <v>0</v>
      </c>
      <c r="P882" s="188">
        <v>0</v>
      </c>
      <c r="Q882" s="188">
        <v>0</v>
      </c>
      <c r="R882" s="188">
        <v>0</v>
      </c>
      <c r="S882" s="188">
        <v>0</v>
      </c>
      <c r="T882" s="188">
        <v>0</v>
      </c>
    </row>
    <row r="883" spans="1:22" ht="24" customHeight="1">
      <c r="A883" s="320" t="s">
        <v>499</v>
      </c>
      <c r="B883" s="255"/>
      <c r="C883" s="255"/>
      <c r="D883" s="320" t="s">
        <v>500</v>
      </c>
      <c r="E883" s="255"/>
      <c r="F883" s="255"/>
      <c r="G883" s="255"/>
      <c r="H883" s="255"/>
      <c r="I883" s="255"/>
      <c r="J883" s="255"/>
      <c r="K883" s="255"/>
      <c r="L883" s="264">
        <v>9435</v>
      </c>
      <c r="M883" s="264">
        <v>1136</v>
      </c>
      <c r="N883" s="189">
        <v>0</v>
      </c>
      <c r="O883" s="189">
        <v>0</v>
      </c>
      <c r="P883" s="188">
        <v>0</v>
      </c>
      <c r="Q883" s="188">
        <v>0</v>
      </c>
      <c r="R883" s="188">
        <v>0</v>
      </c>
      <c r="S883" s="188">
        <v>0</v>
      </c>
      <c r="T883" s="188">
        <v>0</v>
      </c>
    </row>
    <row r="884" spans="1:22" ht="24" customHeight="1">
      <c r="A884" s="320" t="s">
        <v>501</v>
      </c>
      <c r="B884" s="255"/>
      <c r="C884" s="255"/>
      <c r="D884" s="320" t="s">
        <v>502</v>
      </c>
      <c r="E884" s="255"/>
      <c r="F884" s="255"/>
      <c r="G884" s="255"/>
      <c r="H884" s="255"/>
      <c r="I884" s="255"/>
      <c r="J884" s="255"/>
      <c r="K884" s="255"/>
      <c r="L884" s="265">
        <v>20097</v>
      </c>
      <c r="M884" s="265">
        <v>2275</v>
      </c>
      <c r="N884" s="195">
        <v>0</v>
      </c>
      <c r="O884" s="195">
        <v>0</v>
      </c>
      <c r="P884" s="192">
        <v>0</v>
      </c>
      <c r="Q884" s="192">
        <v>0</v>
      </c>
      <c r="R884" s="192">
        <v>0</v>
      </c>
      <c r="S884" s="192">
        <v>0</v>
      </c>
      <c r="T884" s="192">
        <v>0</v>
      </c>
    </row>
    <row r="885" spans="1:22" ht="24" customHeight="1">
      <c r="A885" s="320" t="s">
        <v>503</v>
      </c>
      <c r="B885" s="255"/>
      <c r="C885" s="255"/>
      <c r="D885" s="320" t="s">
        <v>504</v>
      </c>
      <c r="E885" s="255"/>
      <c r="F885" s="255"/>
      <c r="G885" s="255"/>
      <c r="H885" s="255"/>
      <c r="I885" s="255"/>
      <c r="J885" s="255"/>
      <c r="K885" s="255"/>
      <c r="L885" s="265">
        <v>6492</v>
      </c>
      <c r="M885" s="265">
        <v>360</v>
      </c>
      <c r="N885" s="195">
        <v>0</v>
      </c>
      <c r="O885" s="195">
        <v>0</v>
      </c>
      <c r="P885" s="192">
        <v>0</v>
      </c>
      <c r="Q885" s="192">
        <v>0</v>
      </c>
      <c r="R885" s="192">
        <v>0</v>
      </c>
      <c r="S885" s="192">
        <v>0</v>
      </c>
      <c r="T885" s="192">
        <v>0</v>
      </c>
    </row>
    <row r="886" spans="1:22" ht="24" customHeight="1">
      <c r="A886" s="320" t="s">
        <v>505</v>
      </c>
      <c r="B886" s="255"/>
      <c r="C886" s="255"/>
      <c r="D886" s="320" t="s">
        <v>506</v>
      </c>
      <c r="E886" s="255"/>
      <c r="F886" s="255"/>
      <c r="G886" s="255"/>
      <c r="H886" s="255"/>
      <c r="I886" s="255"/>
      <c r="J886" s="255"/>
      <c r="K886" s="255"/>
      <c r="L886" s="265">
        <v>1190</v>
      </c>
      <c r="M886" s="265">
        <v>30</v>
      </c>
      <c r="N886" s="195">
        <v>0</v>
      </c>
      <c r="O886" s="195">
        <v>0</v>
      </c>
      <c r="P886" s="192">
        <v>0</v>
      </c>
      <c r="Q886" s="192">
        <v>0</v>
      </c>
      <c r="R886" s="192">
        <v>0</v>
      </c>
      <c r="S886" s="192">
        <v>0</v>
      </c>
      <c r="T886" s="192">
        <v>0</v>
      </c>
    </row>
    <row r="887" spans="1:22" ht="24" customHeight="1">
      <c r="A887" s="320" t="s">
        <v>507</v>
      </c>
      <c r="B887" s="255"/>
      <c r="C887" s="255"/>
      <c r="D887" s="320" t="s">
        <v>239</v>
      </c>
      <c r="E887" s="255"/>
      <c r="F887" s="255"/>
      <c r="G887" s="255"/>
      <c r="H887" s="255"/>
      <c r="I887" s="255"/>
      <c r="J887" s="255"/>
      <c r="K887" s="255"/>
      <c r="L887" s="268">
        <v>16026</v>
      </c>
      <c r="M887" s="268">
        <v>444</v>
      </c>
      <c r="N887" s="197">
        <v>0</v>
      </c>
      <c r="O887" s="197">
        <v>0</v>
      </c>
      <c r="P887" s="196">
        <v>0</v>
      </c>
      <c r="Q887" s="196">
        <v>0</v>
      </c>
      <c r="R887" s="196">
        <v>0</v>
      </c>
      <c r="S887" s="196">
        <v>0</v>
      </c>
      <c r="T887" s="196">
        <v>0</v>
      </c>
      <c r="V887" s="187"/>
    </row>
    <row r="888" spans="1:22" ht="24" customHeight="1">
      <c r="A888" s="320" t="s">
        <v>508</v>
      </c>
      <c r="B888" s="255"/>
      <c r="C888" s="255"/>
      <c r="D888" s="320" t="s">
        <v>1175</v>
      </c>
      <c r="E888" s="255"/>
      <c r="F888" s="255"/>
      <c r="G888" s="255"/>
      <c r="H888" s="255"/>
      <c r="I888" s="255"/>
      <c r="J888" s="255"/>
      <c r="K888" s="255"/>
      <c r="L888" s="268">
        <v>1356</v>
      </c>
      <c r="M888" s="268">
        <v>28</v>
      </c>
      <c r="N888" s="197">
        <v>0</v>
      </c>
      <c r="O888" s="197">
        <v>0</v>
      </c>
      <c r="P888" s="196">
        <v>0</v>
      </c>
      <c r="Q888" s="196">
        <v>0</v>
      </c>
      <c r="R888" s="196">
        <v>0</v>
      </c>
      <c r="S888" s="196">
        <v>0</v>
      </c>
      <c r="T888" s="196">
        <v>0</v>
      </c>
    </row>
    <row r="889" spans="1:22" ht="24" customHeight="1">
      <c r="A889" s="320" t="s">
        <v>509</v>
      </c>
      <c r="B889" s="255"/>
      <c r="C889" s="255"/>
      <c r="D889" s="320" t="s">
        <v>7</v>
      </c>
      <c r="E889" s="255"/>
      <c r="F889" s="255"/>
      <c r="G889" s="255"/>
      <c r="H889" s="255"/>
      <c r="I889" s="255"/>
      <c r="J889" s="255"/>
      <c r="K889" s="255"/>
      <c r="L889" s="264">
        <v>85</v>
      </c>
      <c r="M889" s="264">
        <v>100</v>
      </c>
      <c r="N889" s="189">
        <v>0</v>
      </c>
      <c r="O889" s="189">
        <v>0</v>
      </c>
      <c r="P889" s="188">
        <v>0</v>
      </c>
      <c r="Q889" s="188">
        <v>0</v>
      </c>
      <c r="R889" s="188">
        <v>0</v>
      </c>
      <c r="S889" s="188">
        <v>0</v>
      </c>
      <c r="T889" s="188">
        <v>0</v>
      </c>
    </row>
    <row r="890" spans="1:22" ht="24" customHeight="1">
      <c r="A890" s="320" t="s">
        <v>1090</v>
      </c>
      <c r="B890" s="255"/>
      <c r="C890" s="255"/>
      <c r="D890" s="320" t="s">
        <v>1091</v>
      </c>
      <c r="E890" s="255"/>
      <c r="F890" s="255"/>
      <c r="G890" s="255"/>
      <c r="H890" s="255"/>
      <c r="I890" s="255"/>
      <c r="J890" s="255"/>
      <c r="K890" s="255"/>
      <c r="L890" s="270">
        <v>0</v>
      </c>
      <c r="M890" s="270">
        <v>489043</v>
      </c>
      <c r="N890" s="202">
        <v>0</v>
      </c>
      <c r="O890" s="202">
        <v>0</v>
      </c>
      <c r="P890" s="201">
        <v>0</v>
      </c>
      <c r="Q890" s="201">
        <v>0</v>
      </c>
      <c r="R890" s="201">
        <v>0</v>
      </c>
      <c r="S890" s="201">
        <v>0</v>
      </c>
      <c r="T890" s="201">
        <v>0</v>
      </c>
      <c r="V890" s="190"/>
    </row>
    <row r="891" spans="1:22" ht="15" customHeight="1">
      <c r="A891" s="255"/>
      <c r="B891" s="255"/>
      <c r="C891" s="255"/>
      <c r="D891" s="255"/>
      <c r="E891" s="255"/>
      <c r="F891" s="255"/>
      <c r="G891" s="255"/>
      <c r="H891" s="255"/>
      <c r="I891" s="255"/>
      <c r="J891" s="255"/>
      <c r="K891" s="255"/>
      <c r="L891" s="271"/>
      <c r="M891" s="271"/>
      <c r="N891" s="204"/>
      <c r="O891" s="204"/>
      <c r="P891" s="203"/>
      <c r="Q891" s="203"/>
      <c r="R891" s="203"/>
      <c r="S891" s="203"/>
      <c r="T891" s="203"/>
    </row>
    <row r="892" spans="1:22" s="255" customFormat="1" ht="24" customHeight="1">
      <c r="K892" s="324" t="s">
        <v>595</v>
      </c>
      <c r="L892" s="273">
        <f t="shared" ref="L892:M892" si="244">SUM(L880:L891)</f>
        <v>511086</v>
      </c>
      <c r="M892" s="273">
        <f t="shared" si="244"/>
        <v>534506</v>
      </c>
      <c r="N892" s="274">
        <f t="shared" ref="N892:O892" si="245">SUM(N880:N891)</f>
        <v>0</v>
      </c>
      <c r="O892" s="274">
        <f t="shared" si="245"/>
        <v>0</v>
      </c>
      <c r="P892" s="273">
        <f t="shared" ref="P892:Q892" si="246">SUM(P880:P891)</f>
        <v>0</v>
      </c>
      <c r="Q892" s="273">
        <f t="shared" si="246"/>
        <v>0</v>
      </c>
      <c r="R892" s="273">
        <f>SUM(R880:R891)</f>
        <v>0</v>
      </c>
      <c r="S892" s="273">
        <f>SUM(S880:S891)</f>
        <v>0</v>
      </c>
      <c r="T892" s="273">
        <f>SUM(T880:T891)</f>
        <v>0</v>
      </c>
      <c r="U892" s="542"/>
    </row>
    <row r="893" spans="1:22" s="391" customFormat="1" ht="24" customHeight="1">
      <c r="K893" s="324"/>
      <c r="L893" s="273"/>
      <c r="M893" s="273"/>
      <c r="N893" s="274"/>
      <c r="O893" s="274"/>
      <c r="P893" s="273"/>
      <c r="Q893" s="273"/>
      <c r="R893" s="273"/>
      <c r="S893" s="273"/>
      <c r="T893" s="273"/>
      <c r="U893" s="542"/>
    </row>
    <row r="894" spans="1:22" ht="15" customHeight="1">
      <c r="A894" s="255"/>
      <c r="B894" s="255"/>
      <c r="C894" s="255"/>
      <c r="D894" s="255"/>
      <c r="E894" s="255"/>
      <c r="F894" s="255"/>
      <c r="G894" s="255"/>
      <c r="H894" s="255"/>
      <c r="I894" s="255"/>
      <c r="J894" s="255"/>
      <c r="K894" s="255"/>
      <c r="L894" s="271"/>
      <c r="M894" s="271"/>
      <c r="N894" s="204"/>
      <c r="O894" s="204"/>
      <c r="P894" s="203"/>
      <c r="Q894" s="203"/>
      <c r="R894" s="203"/>
      <c r="S894" s="203"/>
      <c r="T894" s="203"/>
    </row>
    <row r="895" spans="1:22" ht="24" customHeight="1">
      <c r="A895" s="320" t="s">
        <v>510</v>
      </c>
      <c r="B895" s="321"/>
      <c r="C895" s="321"/>
      <c r="D895" s="320" t="s">
        <v>1003</v>
      </c>
      <c r="E895" s="321"/>
      <c r="F895" s="321"/>
      <c r="G895" s="321"/>
      <c r="H895" s="321"/>
      <c r="I895" s="321"/>
      <c r="J895" s="321"/>
      <c r="K895" s="321"/>
      <c r="L895" s="264">
        <v>25903</v>
      </c>
      <c r="M895" s="264">
        <v>0</v>
      </c>
      <c r="N895" s="189">
        <v>0</v>
      </c>
      <c r="O895" s="189">
        <v>0</v>
      </c>
      <c r="P895" s="188">
        <v>0</v>
      </c>
      <c r="Q895" s="188">
        <v>0</v>
      </c>
      <c r="R895" s="188">
        <v>0</v>
      </c>
      <c r="S895" s="188">
        <v>0</v>
      </c>
      <c r="T895" s="188">
        <v>0</v>
      </c>
    </row>
    <row r="896" spans="1:22" ht="24" customHeight="1">
      <c r="A896" s="320" t="s">
        <v>511</v>
      </c>
      <c r="B896" s="255"/>
      <c r="C896" s="255"/>
      <c r="D896" s="320" t="s">
        <v>73</v>
      </c>
      <c r="E896" s="255"/>
      <c r="F896" s="255"/>
      <c r="G896" s="255"/>
      <c r="H896" s="255"/>
      <c r="I896" s="255"/>
      <c r="J896" s="255"/>
      <c r="K896" s="255"/>
      <c r="L896" s="262">
        <v>78005</v>
      </c>
      <c r="M896" s="262">
        <v>13006</v>
      </c>
      <c r="N896" s="186">
        <v>0</v>
      </c>
      <c r="O896" s="186">
        <v>0</v>
      </c>
      <c r="P896" s="185">
        <v>0</v>
      </c>
      <c r="Q896" s="185">
        <v>0</v>
      </c>
      <c r="R896" s="185">
        <v>0</v>
      </c>
      <c r="S896" s="185">
        <v>0</v>
      </c>
      <c r="T896" s="185">
        <v>0</v>
      </c>
    </row>
    <row r="897" spans="1:29" ht="24" customHeight="1">
      <c r="A897" s="320" t="s">
        <v>512</v>
      </c>
      <c r="B897" s="321"/>
      <c r="C897" s="321"/>
      <c r="D897" s="320" t="s">
        <v>489</v>
      </c>
      <c r="E897" s="321"/>
      <c r="F897" s="321"/>
      <c r="G897" s="321"/>
      <c r="H897" s="321"/>
      <c r="I897" s="321"/>
      <c r="J897" s="321"/>
      <c r="K897" s="321"/>
      <c r="L897" s="262">
        <v>12626</v>
      </c>
      <c r="M897" s="262">
        <v>0</v>
      </c>
      <c r="N897" s="186">
        <v>0</v>
      </c>
      <c r="O897" s="186">
        <v>0</v>
      </c>
      <c r="P897" s="185">
        <v>0</v>
      </c>
      <c r="Q897" s="185">
        <v>0</v>
      </c>
      <c r="R897" s="185">
        <v>0</v>
      </c>
      <c r="S897" s="185">
        <v>0</v>
      </c>
      <c r="T897" s="185">
        <v>0</v>
      </c>
    </row>
    <row r="898" spans="1:29" ht="24" customHeight="1">
      <c r="A898" s="320" t="s">
        <v>513</v>
      </c>
      <c r="B898" s="321"/>
      <c r="C898" s="321"/>
      <c r="D898" s="320" t="s">
        <v>490</v>
      </c>
      <c r="E898" s="321"/>
      <c r="F898" s="321"/>
      <c r="G898" s="321"/>
      <c r="H898" s="321"/>
      <c r="I898" s="321"/>
      <c r="J898" s="321"/>
      <c r="K898" s="321"/>
      <c r="L898" s="262">
        <v>53304</v>
      </c>
      <c r="M898" s="262">
        <v>6789</v>
      </c>
      <c r="N898" s="186">
        <v>0</v>
      </c>
      <c r="O898" s="186">
        <v>0</v>
      </c>
      <c r="P898" s="185">
        <v>0</v>
      </c>
      <c r="Q898" s="185">
        <v>0</v>
      </c>
      <c r="R898" s="185">
        <v>0</v>
      </c>
      <c r="S898" s="185">
        <v>0</v>
      </c>
      <c r="T898" s="185">
        <v>0</v>
      </c>
    </row>
    <row r="899" spans="1:29" ht="24" customHeight="1">
      <c r="A899" s="320" t="s">
        <v>514</v>
      </c>
      <c r="B899" s="321"/>
      <c r="C899" s="321"/>
      <c r="D899" s="320" t="s">
        <v>8</v>
      </c>
      <c r="E899" s="321"/>
      <c r="F899" s="321"/>
      <c r="G899" s="321"/>
      <c r="H899" s="321"/>
      <c r="I899" s="321"/>
      <c r="J899" s="321"/>
      <c r="K899" s="321"/>
      <c r="L899" s="264">
        <v>9343</v>
      </c>
      <c r="M899" s="264">
        <v>624</v>
      </c>
      <c r="N899" s="189">
        <v>0</v>
      </c>
      <c r="O899" s="189">
        <v>0</v>
      </c>
      <c r="P899" s="188">
        <v>0</v>
      </c>
      <c r="Q899" s="188">
        <v>0</v>
      </c>
      <c r="R899" s="188">
        <v>0</v>
      </c>
      <c r="S899" s="188">
        <v>0</v>
      </c>
      <c r="T899" s="188">
        <v>0</v>
      </c>
    </row>
    <row r="900" spans="1:29" ht="24" customHeight="1">
      <c r="A900" s="320" t="s">
        <v>515</v>
      </c>
      <c r="B900" s="255"/>
      <c r="C900" s="255"/>
      <c r="D900" s="320" t="s">
        <v>9</v>
      </c>
      <c r="E900" s="255"/>
      <c r="F900" s="255"/>
      <c r="G900" s="255"/>
      <c r="H900" s="255"/>
      <c r="I900" s="255"/>
      <c r="J900" s="255"/>
      <c r="K900" s="255"/>
      <c r="L900" s="264">
        <v>13088</v>
      </c>
      <c r="M900" s="264">
        <v>1524</v>
      </c>
      <c r="N900" s="189">
        <v>0</v>
      </c>
      <c r="O900" s="189">
        <v>0</v>
      </c>
      <c r="P900" s="188">
        <v>0</v>
      </c>
      <c r="Q900" s="188">
        <v>0</v>
      </c>
      <c r="R900" s="188">
        <v>0</v>
      </c>
      <c r="S900" s="188">
        <v>0</v>
      </c>
      <c r="T900" s="188">
        <v>0</v>
      </c>
    </row>
    <row r="901" spans="1:29" ht="24" customHeight="1">
      <c r="A901" s="320" t="s">
        <v>650</v>
      </c>
      <c r="B901" s="255"/>
      <c r="C901" s="255"/>
      <c r="D901" s="320" t="s">
        <v>13</v>
      </c>
      <c r="E901" s="255"/>
      <c r="F901" s="255"/>
      <c r="G901" s="255"/>
      <c r="H901" s="255"/>
      <c r="I901" s="255"/>
      <c r="J901" s="255"/>
      <c r="K901" s="255"/>
      <c r="L901" s="265">
        <v>1200</v>
      </c>
      <c r="M901" s="265">
        <v>0</v>
      </c>
      <c r="N901" s="195">
        <v>0</v>
      </c>
      <c r="O901" s="195">
        <v>0</v>
      </c>
      <c r="P901" s="192">
        <v>0</v>
      </c>
      <c r="Q901" s="192">
        <v>0</v>
      </c>
      <c r="R901" s="192">
        <v>0</v>
      </c>
      <c r="S901" s="192">
        <v>0</v>
      </c>
      <c r="T901" s="192">
        <v>0</v>
      </c>
    </row>
    <row r="902" spans="1:29" ht="24" customHeight="1">
      <c r="A902" s="320" t="s">
        <v>651</v>
      </c>
      <c r="B902" s="375"/>
      <c r="C902" s="375"/>
      <c r="D902" s="320" t="s">
        <v>187</v>
      </c>
      <c r="E902" s="375"/>
      <c r="F902" s="375"/>
      <c r="G902" s="375"/>
      <c r="H902" s="375"/>
      <c r="I902" s="375"/>
      <c r="J902" s="375"/>
      <c r="K902" s="375"/>
      <c r="L902" s="265">
        <v>87</v>
      </c>
      <c r="M902" s="265">
        <v>0</v>
      </c>
      <c r="N902" s="195">
        <v>0</v>
      </c>
      <c r="O902" s="195">
        <v>0</v>
      </c>
      <c r="P902" s="192">
        <v>0</v>
      </c>
      <c r="Q902" s="192">
        <v>0</v>
      </c>
      <c r="R902" s="192">
        <v>0</v>
      </c>
      <c r="S902" s="192">
        <v>0</v>
      </c>
      <c r="T902" s="192">
        <v>0</v>
      </c>
    </row>
    <row r="903" spans="1:29" ht="24" customHeight="1">
      <c r="A903" s="320" t="s">
        <v>516</v>
      </c>
      <c r="B903" s="255"/>
      <c r="C903" s="255"/>
      <c r="D903" s="320" t="s">
        <v>240</v>
      </c>
      <c r="E903" s="255"/>
      <c r="F903" s="255"/>
      <c r="G903" s="255"/>
      <c r="H903" s="255"/>
      <c r="I903" s="255"/>
      <c r="J903" s="255"/>
      <c r="K903" s="255"/>
      <c r="L903" s="264">
        <v>4300</v>
      </c>
      <c r="M903" s="264">
        <v>691</v>
      </c>
      <c r="N903" s="189">
        <v>0</v>
      </c>
      <c r="O903" s="189">
        <v>0</v>
      </c>
      <c r="P903" s="188">
        <v>0</v>
      </c>
      <c r="Q903" s="188">
        <v>0</v>
      </c>
      <c r="R903" s="188">
        <v>0</v>
      </c>
      <c r="S903" s="188">
        <v>0</v>
      </c>
      <c r="T903" s="188">
        <v>0</v>
      </c>
      <c r="V903" s="187"/>
    </row>
    <row r="904" spans="1:29" ht="24" customHeight="1">
      <c r="A904" s="320" t="s">
        <v>517</v>
      </c>
      <c r="B904" s="255"/>
      <c r="C904" s="255"/>
      <c r="D904" s="320" t="s">
        <v>10</v>
      </c>
      <c r="E904" s="255"/>
      <c r="F904" s="255"/>
      <c r="G904" s="255"/>
      <c r="H904" s="255"/>
      <c r="I904" s="255"/>
      <c r="J904" s="255"/>
      <c r="K904" s="255"/>
      <c r="L904" s="264">
        <v>18001</v>
      </c>
      <c r="M904" s="264">
        <v>1726</v>
      </c>
      <c r="N904" s="189">
        <v>0</v>
      </c>
      <c r="O904" s="189">
        <v>0</v>
      </c>
      <c r="P904" s="188">
        <v>0</v>
      </c>
      <c r="Q904" s="188">
        <v>0</v>
      </c>
      <c r="R904" s="188">
        <v>0</v>
      </c>
      <c r="S904" s="188">
        <v>0</v>
      </c>
      <c r="T904" s="188">
        <v>0</v>
      </c>
    </row>
    <row r="905" spans="1:29" ht="24" customHeight="1">
      <c r="A905" s="320" t="s">
        <v>518</v>
      </c>
      <c r="B905" s="321"/>
      <c r="C905" s="321"/>
      <c r="D905" s="320" t="s">
        <v>17</v>
      </c>
      <c r="E905" s="321"/>
      <c r="F905" s="321"/>
      <c r="G905" s="321"/>
      <c r="H905" s="321"/>
      <c r="I905" s="321"/>
      <c r="J905" s="321"/>
      <c r="K905" s="321"/>
      <c r="L905" s="264">
        <v>40024</v>
      </c>
      <c r="M905" s="264">
        <v>3523</v>
      </c>
      <c r="N905" s="189">
        <v>0</v>
      </c>
      <c r="O905" s="189">
        <v>0</v>
      </c>
      <c r="P905" s="188">
        <v>0</v>
      </c>
      <c r="Q905" s="188">
        <v>0</v>
      </c>
      <c r="R905" s="188">
        <v>0</v>
      </c>
      <c r="S905" s="188">
        <v>0</v>
      </c>
      <c r="T905" s="188">
        <v>0</v>
      </c>
    </row>
    <row r="906" spans="1:29" ht="24" customHeight="1">
      <c r="A906" s="320" t="s">
        <v>519</v>
      </c>
      <c r="B906" s="321"/>
      <c r="C906" s="321"/>
      <c r="D906" s="320" t="s">
        <v>91</v>
      </c>
      <c r="E906" s="321"/>
      <c r="F906" s="321"/>
      <c r="G906" s="321"/>
      <c r="H906" s="321"/>
      <c r="I906" s="321"/>
      <c r="J906" s="321"/>
      <c r="K906" s="321"/>
      <c r="L906" s="264">
        <v>229376</v>
      </c>
      <c r="M906" s="264">
        <v>138274</v>
      </c>
      <c r="N906" s="189">
        <v>0</v>
      </c>
      <c r="O906" s="189">
        <v>0</v>
      </c>
      <c r="P906" s="188">
        <v>0</v>
      </c>
      <c r="Q906" s="188">
        <v>0</v>
      </c>
      <c r="R906" s="188">
        <v>0</v>
      </c>
      <c r="S906" s="188">
        <v>0</v>
      </c>
      <c r="T906" s="188">
        <v>0</v>
      </c>
      <c r="V906" s="190"/>
      <c r="W906" s="199"/>
      <c r="X906" s="199"/>
      <c r="Y906" s="199"/>
      <c r="Z906" s="199"/>
      <c r="AA906" s="199"/>
      <c r="AB906" s="199"/>
      <c r="AC906" s="199"/>
    </row>
    <row r="907" spans="1:29" ht="24" customHeight="1">
      <c r="A907" s="320" t="s">
        <v>520</v>
      </c>
      <c r="B907" s="321"/>
      <c r="C907" s="321"/>
      <c r="D907" s="320" t="s">
        <v>1170</v>
      </c>
      <c r="E907" s="321"/>
      <c r="F907" s="321"/>
      <c r="G907" s="321"/>
      <c r="H907" s="321"/>
      <c r="I907" s="321"/>
      <c r="J907" s="321"/>
      <c r="K907" s="321"/>
      <c r="L907" s="281">
        <v>6035</v>
      </c>
      <c r="M907" s="281">
        <v>4402</v>
      </c>
      <c r="N907" s="189">
        <v>0</v>
      </c>
      <c r="O907" s="189">
        <v>0</v>
      </c>
      <c r="P907" s="217">
        <v>0</v>
      </c>
      <c r="Q907" s="217">
        <v>0</v>
      </c>
      <c r="R907" s="217">
        <v>0</v>
      </c>
      <c r="S907" s="217">
        <v>0</v>
      </c>
      <c r="T907" s="217">
        <v>0</v>
      </c>
    </row>
    <row r="908" spans="1:29" ht="24" customHeight="1">
      <c r="A908" s="320" t="s">
        <v>521</v>
      </c>
      <c r="B908" s="321"/>
      <c r="C908" s="321"/>
      <c r="D908" s="320" t="s">
        <v>492</v>
      </c>
      <c r="E908" s="321"/>
      <c r="F908" s="321"/>
      <c r="G908" s="321"/>
      <c r="H908" s="321"/>
      <c r="I908" s="321"/>
      <c r="J908" s="321"/>
      <c r="K908" s="321"/>
      <c r="L908" s="281">
        <v>3896</v>
      </c>
      <c r="M908" s="281">
        <v>4129</v>
      </c>
      <c r="N908" s="189">
        <v>0</v>
      </c>
      <c r="O908" s="189">
        <v>0</v>
      </c>
      <c r="P908" s="217">
        <v>0</v>
      </c>
      <c r="Q908" s="217">
        <v>0</v>
      </c>
      <c r="R908" s="217">
        <v>0</v>
      </c>
      <c r="S908" s="217">
        <v>0</v>
      </c>
      <c r="T908" s="217">
        <v>0</v>
      </c>
    </row>
    <row r="909" spans="1:29" ht="24" customHeight="1">
      <c r="A909" s="320" t="s">
        <v>522</v>
      </c>
      <c r="B909" s="255"/>
      <c r="C909" s="255"/>
      <c r="D909" s="320" t="s">
        <v>523</v>
      </c>
      <c r="E909" s="255"/>
      <c r="F909" s="255"/>
      <c r="G909" s="255"/>
      <c r="H909" s="255"/>
      <c r="I909" s="255"/>
      <c r="J909" s="255"/>
      <c r="K909" s="255"/>
      <c r="L909" s="285">
        <v>58800</v>
      </c>
      <c r="M909" s="285">
        <v>55890</v>
      </c>
      <c r="N909" s="224">
        <v>0</v>
      </c>
      <c r="O909" s="224">
        <v>0</v>
      </c>
      <c r="P909" s="223">
        <v>0</v>
      </c>
      <c r="Q909" s="223">
        <v>0</v>
      </c>
      <c r="R909" s="223">
        <v>0</v>
      </c>
      <c r="S909" s="223">
        <v>0</v>
      </c>
      <c r="T909" s="223">
        <v>0</v>
      </c>
      <c r="V909" s="187"/>
    </row>
    <row r="910" spans="1:29" ht="24" customHeight="1">
      <c r="A910" s="320" t="s">
        <v>524</v>
      </c>
      <c r="B910" s="321"/>
      <c r="C910" s="321"/>
      <c r="D910" s="320" t="s">
        <v>494</v>
      </c>
      <c r="E910" s="321"/>
      <c r="F910" s="321"/>
      <c r="G910" s="321"/>
      <c r="H910" s="321"/>
      <c r="I910" s="321"/>
      <c r="J910" s="321"/>
      <c r="K910" s="321"/>
      <c r="L910" s="262">
        <v>6458</v>
      </c>
      <c r="M910" s="262">
        <v>520</v>
      </c>
      <c r="N910" s="189">
        <v>0</v>
      </c>
      <c r="O910" s="189">
        <v>0</v>
      </c>
      <c r="P910" s="185">
        <v>0</v>
      </c>
      <c r="Q910" s="185">
        <v>0</v>
      </c>
      <c r="R910" s="185">
        <v>0</v>
      </c>
      <c r="S910" s="185">
        <v>0</v>
      </c>
      <c r="T910" s="185">
        <v>0</v>
      </c>
    </row>
    <row r="911" spans="1:29" ht="24" customHeight="1">
      <c r="A911" s="320" t="s">
        <v>525</v>
      </c>
      <c r="B911" s="321"/>
      <c r="C911" s="321"/>
      <c r="D911" s="320" t="s">
        <v>495</v>
      </c>
      <c r="E911" s="321"/>
      <c r="F911" s="321"/>
      <c r="G911" s="321"/>
      <c r="H911" s="321"/>
      <c r="I911" s="321"/>
      <c r="J911" s="321"/>
      <c r="K911" s="321"/>
      <c r="L911" s="264">
        <v>5427</v>
      </c>
      <c r="M911" s="264">
        <v>0</v>
      </c>
      <c r="N911" s="189">
        <v>0</v>
      </c>
      <c r="O911" s="189">
        <v>0</v>
      </c>
      <c r="P911" s="188">
        <v>0</v>
      </c>
      <c r="Q911" s="188">
        <v>0</v>
      </c>
      <c r="R911" s="188">
        <v>0</v>
      </c>
      <c r="S911" s="188">
        <v>0</v>
      </c>
      <c r="T911" s="188">
        <v>0</v>
      </c>
    </row>
    <row r="912" spans="1:29" ht="24" customHeight="1">
      <c r="A912" s="320" t="s">
        <v>526</v>
      </c>
      <c r="B912" s="321"/>
      <c r="C912" s="321"/>
      <c r="D912" s="320" t="s">
        <v>11</v>
      </c>
      <c r="E912" s="321"/>
      <c r="F912" s="321"/>
      <c r="G912" s="321"/>
      <c r="H912" s="321"/>
      <c r="I912" s="321"/>
      <c r="J912" s="321"/>
      <c r="K912" s="321"/>
      <c r="L912" s="264">
        <v>252</v>
      </c>
      <c r="M912" s="264">
        <v>0</v>
      </c>
      <c r="N912" s="189">
        <v>0</v>
      </c>
      <c r="O912" s="189">
        <v>0</v>
      </c>
      <c r="P912" s="188">
        <v>0</v>
      </c>
      <c r="Q912" s="188">
        <v>0</v>
      </c>
      <c r="R912" s="188">
        <v>0</v>
      </c>
      <c r="S912" s="188">
        <v>0</v>
      </c>
      <c r="T912" s="188">
        <v>0</v>
      </c>
    </row>
    <row r="913" spans="1:25" ht="24" customHeight="1">
      <c r="A913" s="320" t="s">
        <v>527</v>
      </c>
      <c r="B913" s="321"/>
      <c r="C913" s="321"/>
      <c r="D913" s="320" t="s">
        <v>12</v>
      </c>
      <c r="E913" s="321"/>
      <c r="F913" s="321"/>
      <c r="G913" s="321"/>
      <c r="H913" s="321"/>
      <c r="I913" s="321"/>
      <c r="J913" s="321"/>
      <c r="K913" s="321"/>
      <c r="L913" s="264">
        <v>5552</v>
      </c>
      <c r="M913" s="264">
        <v>1123</v>
      </c>
      <c r="N913" s="189">
        <v>0</v>
      </c>
      <c r="O913" s="189">
        <v>0</v>
      </c>
      <c r="P913" s="188">
        <v>0</v>
      </c>
      <c r="Q913" s="188">
        <v>0</v>
      </c>
      <c r="R913" s="188">
        <v>0</v>
      </c>
      <c r="S913" s="188">
        <v>0</v>
      </c>
      <c r="T913" s="188">
        <v>0</v>
      </c>
    </row>
    <row r="914" spans="1:25" ht="24" customHeight="1">
      <c r="A914" s="320" t="s">
        <v>528</v>
      </c>
      <c r="B914" s="321"/>
      <c r="C914" s="321"/>
      <c r="D914" s="320" t="s">
        <v>249</v>
      </c>
      <c r="E914" s="321"/>
      <c r="F914" s="321"/>
      <c r="G914" s="321"/>
      <c r="H914" s="321"/>
      <c r="I914" s="321"/>
      <c r="J914" s="321"/>
      <c r="K914" s="321"/>
      <c r="L914" s="266">
        <v>10062</v>
      </c>
      <c r="M914" s="266">
        <v>0</v>
      </c>
      <c r="N914" s="189">
        <v>0</v>
      </c>
      <c r="O914" s="189">
        <v>0</v>
      </c>
      <c r="P914" s="193">
        <v>0</v>
      </c>
      <c r="Q914" s="193">
        <v>0</v>
      </c>
      <c r="R914" s="193">
        <v>0</v>
      </c>
      <c r="S914" s="193">
        <v>0</v>
      </c>
      <c r="T914" s="193">
        <v>0</v>
      </c>
    </row>
    <row r="915" spans="1:25" ht="24" customHeight="1">
      <c r="A915" s="320" t="s">
        <v>529</v>
      </c>
      <c r="B915" s="321"/>
      <c r="C915" s="321"/>
      <c r="D915" s="320" t="s">
        <v>1169</v>
      </c>
      <c r="E915" s="321"/>
      <c r="F915" s="321"/>
      <c r="G915" s="321"/>
      <c r="H915" s="321"/>
      <c r="I915" s="321"/>
      <c r="J915" s="321"/>
      <c r="K915" s="321"/>
      <c r="L915" s="262">
        <v>9571</v>
      </c>
      <c r="M915" s="262">
        <v>1865</v>
      </c>
      <c r="N915" s="189">
        <v>0</v>
      </c>
      <c r="O915" s="189">
        <v>0</v>
      </c>
      <c r="P915" s="185">
        <v>0</v>
      </c>
      <c r="Q915" s="185">
        <v>0</v>
      </c>
      <c r="R915" s="185">
        <v>0</v>
      </c>
      <c r="S915" s="185">
        <v>0</v>
      </c>
      <c r="T915" s="185">
        <v>0</v>
      </c>
      <c r="V915" s="187"/>
    </row>
    <row r="916" spans="1:25" ht="24" customHeight="1">
      <c r="A916" s="320" t="s">
        <v>530</v>
      </c>
      <c r="B916" s="321"/>
      <c r="C916" s="321"/>
      <c r="D916" s="320" t="s">
        <v>1171</v>
      </c>
      <c r="E916" s="321"/>
      <c r="F916" s="321"/>
      <c r="G916" s="321"/>
      <c r="H916" s="321"/>
      <c r="I916" s="321"/>
      <c r="J916" s="321"/>
      <c r="K916" s="321"/>
      <c r="L916" s="270">
        <v>194</v>
      </c>
      <c r="M916" s="270">
        <v>0</v>
      </c>
      <c r="N916" s="214">
        <v>0</v>
      </c>
      <c r="O916" s="214">
        <v>0</v>
      </c>
      <c r="P916" s="201">
        <v>0</v>
      </c>
      <c r="Q916" s="201">
        <v>0</v>
      </c>
      <c r="R916" s="201">
        <v>0</v>
      </c>
      <c r="S916" s="201">
        <v>0</v>
      </c>
      <c r="T916" s="201">
        <v>0</v>
      </c>
    </row>
    <row r="917" spans="1:25" ht="15" customHeight="1">
      <c r="A917" s="255"/>
      <c r="B917" s="255"/>
      <c r="C917" s="255"/>
      <c r="D917" s="255"/>
      <c r="E917" s="255"/>
      <c r="F917" s="255"/>
      <c r="G917" s="255"/>
      <c r="H917" s="255"/>
      <c r="I917" s="255"/>
      <c r="J917" s="255"/>
      <c r="K917" s="255"/>
      <c r="L917" s="271"/>
      <c r="M917" s="271"/>
      <c r="N917" s="204"/>
      <c r="O917" s="204"/>
      <c r="P917" s="203"/>
      <c r="Q917" s="203"/>
      <c r="R917" s="203"/>
      <c r="S917" s="203"/>
      <c r="T917" s="203"/>
    </row>
    <row r="918" spans="1:25" s="255" customFormat="1" ht="24" customHeight="1">
      <c r="K918" s="324" t="s">
        <v>600</v>
      </c>
      <c r="L918" s="273">
        <f t="shared" ref="L918:T918" si="247">SUM(L895:L917)</f>
        <v>591504</v>
      </c>
      <c r="M918" s="273">
        <f t="shared" si="247"/>
        <v>234086</v>
      </c>
      <c r="N918" s="274">
        <f t="shared" si="247"/>
        <v>0</v>
      </c>
      <c r="O918" s="274">
        <f t="shared" si="247"/>
        <v>0</v>
      </c>
      <c r="P918" s="273">
        <f t="shared" si="247"/>
        <v>0</v>
      </c>
      <c r="Q918" s="273">
        <f t="shared" si="247"/>
        <v>0</v>
      </c>
      <c r="R918" s="273">
        <f t="shared" si="247"/>
        <v>0</v>
      </c>
      <c r="S918" s="273">
        <f t="shared" si="247"/>
        <v>0</v>
      </c>
      <c r="T918" s="273">
        <f t="shared" si="247"/>
        <v>0</v>
      </c>
      <c r="U918" s="542"/>
    </row>
    <row r="919" spans="1:25" s="255" customFormat="1" ht="15" customHeight="1">
      <c r="L919" s="271"/>
      <c r="M919" s="271"/>
      <c r="N919" s="272"/>
      <c r="O919" s="272"/>
      <c r="P919" s="271"/>
      <c r="Q919" s="271"/>
      <c r="R919" s="271"/>
      <c r="S919" s="271"/>
      <c r="T919" s="271"/>
      <c r="U919" s="542"/>
    </row>
    <row r="920" spans="1:25" s="255" customFormat="1" ht="24" customHeight="1">
      <c r="K920" s="324" t="s">
        <v>599</v>
      </c>
      <c r="L920" s="290">
        <f t="shared" ref="L920:T920" si="248">L892-L918</f>
        <v>-80418</v>
      </c>
      <c r="M920" s="290">
        <f t="shared" si="248"/>
        <v>300420</v>
      </c>
      <c r="N920" s="291">
        <f t="shared" si="248"/>
        <v>0</v>
      </c>
      <c r="O920" s="291">
        <f t="shared" ref="O920" si="249">O892-O918</f>
        <v>0</v>
      </c>
      <c r="P920" s="290">
        <f t="shared" si="248"/>
        <v>0</v>
      </c>
      <c r="Q920" s="290">
        <f t="shared" si="248"/>
        <v>0</v>
      </c>
      <c r="R920" s="290">
        <f t="shared" si="248"/>
        <v>0</v>
      </c>
      <c r="S920" s="290">
        <f t="shared" si="248"/>
        <v>0</v>
      </c>
      <c r="T920" s="290">
        <f t="shared" si="248"/>
        <v>0</v>
      </c>
      <c r="U920" s="542"/>
    </row>
    <row r="921" spans="1:25" s="255" customFormat="1" ht="15" customHeight="1">
      <c r="L921" s="290"/>
      <c r="M921" s="290"/>
      <c r="N921" s="291"/>
      <c r="O921" s="291"/>
      <c r="P921" s="290"/>
      <c r="Q921" s="290"/>
      <c r="R921" s="290"/>
      <c r="S921" s="290"/>
      <c r="T921" s="290"/>
      <c r="U921" s="542"/>
    </row>
    <row r="922" spans="1:25" s="255" customFormat="1" ht="24" customHeight="1">
      <c r="J922" s="329" t="s">
        <v>610</v>
      </c>
      <c r="L922" s="290">
        <v>-300420</v>
      </c>
      <c r="M922" s="290">
        <v>0</v>
      </c>
      <c r="N922" s="291">
        <v>0</v>
      </c>
      <c r="O922" s="291">
        <v>0</v>
      </c>
      <c r="P922" s="290">
        <v>0</v>
      </c>
      <c r="Q922" s="290">
        <v>0</v>
      </c>
      <c r="R922" s="290">
        <v>0</v>
      </c>
      <c r="S922" s="290">
        <v>0</v>
      </c>
      <c r="T922" s="290">
        <v>0</v>
      </c>
      <c r="U922" s="542"/>
    </row>
    <row r="923" spans="1:25" s="333" customFormat="1" ht="24" customHeight="1">
      <c r="L923" s="292">
        <f>L922/L918</f>
        <v>-0.50789174713949525</v>
      </c>
      <c r="M923" s="292">
        <f>M922/M918</f>
        <v>0</v>
      </c>
      <c r="N923" s="526"/>
      <c r="O923" s="526"/>
      <c r="P923" s="527"/>
      <c r="Q923" s="527"/>
      <c r="R923" s="527"/>
      <c r="S923" s="527"/>
      <c r="T923" s="527"/>
      <c r="U923" s="399"/>
    </row>
    <row r="924" spans="1:25" ht="15" customHeight="1">
      <c r="A924" s="255"/>
      <c r="B924" s="255"/>
      <c r="C924" s="255"/>
      <c r="D924" s="255"/>
      <c r="E924" s="255"/>
      <c r="F924" s="255"/>
      <c r="G924" s="255"/>
      <c r="H924" s="255"/>
      <c r="I924" s="255"/>
      <c r="J924" s="255"/>
      <c r="K924" s="255"/>
      <c r="L924" s="468"/>
      <c r="M924" s="468"/>
      <c r="N924" s="472"/>
      <c r="O924" s="472"/>
      <c r="P924" s="473"/>
      <c r="Q924" s="473"/>
      <c r="R924" s="473"/>
      <c r="S924" s="473"/>
      <c r="T924" s="473"/>
    </row>
    <row r="925" spans="1:25" ht="24" customHeight="1">
      <c r="A925" s="331" t="s">
        <v>670</v>
      </c>
      <c r="B925" s="255"/>
      <c r="C925" s="255"/>
      <c r="D925" s="255"/>
      <c r="E925" s="255"/>
      <c r="F925" s="255"/>
      <c r="G925" s="255"/>
      <c r="H925" s="255"/>
      <c r="I925" s="255"/>
      <c r="J925" s="255"/>
      <c r="K925" s="255"/>
      <c r="L925" s="468"/>
      <c r="M925" s="468"/>
      <c r="N925" s="472"/>
      <c r="O925" s="472"/>
      <c r="P925" s="473"/>
      <c r="Q925" s="473"/>
      <c r="R925" s="473"/>
      <c r="S925" s="473"/>
      <c r="T925" s="473"/>
      <c r="V925" s="487"/>
      <c r="W925" s="488"/>
      <c r="X925" s="488"/>
      <c r="Y925" s="488"/>
    </row>
    <row r="926" spans="1:25" ht="15" customHeight="1">
      <c r="A926" s="255"/>
      <c r="B926" s="255"/>
      <c r="C926" s="255"/>
      <c r="D926" s="255"/>
      <c r="E926" s="255"/>
      <c r="F926" s="255"/>
      <c r="G926" s="255"/>
      <c r="H926" s="255"/>
      <c r="I926" s="255"/>
      <c r="J926" s="255"/>
      <c r="K926" s="255"/>
      <c r="L926" s="468"/>
      <c r="M926" s="468"/>
      <c r="N926" s="472"/>
      <c r="O926" s="472"/>
      <c r="P926" s="473"/>
      <c r="Q926" s="473"/>
      <c r="R926" s="473"/>
      <c r="S926" s="473"/>
      <c r="T926" s="473"/>
    </row>
    <row r="927" spans="1:25" ht="24" customHeight="1">
      <c r="A927" s="430" t="s">
        <v>1218</v>
      </c>
      <c r="B927" s="255"/>
      <c r="C927" s="255"/>
      <c r="D927" s="430" t="s">
        <v>1219</v>
      </c>
      <c r="E927" s="255"/>
      <c r="F927" s="255"/>
      <c r="G927" s="255"/>
      <c r="H927" s="255"/>
      <c r="I927" s="255"/>
      <c r="J927" s="255"/>
      <c r="K927" s="255"/>
      <c r="L927" s="264">
        <v>691905</v>
      </c>
      <c r="M927" s="264">
        <v>642838</v>
      </c>
      <c r="N927" s="189">
        <v>646010</v>
      </c>
      <c r="O927" s="186">
        <v>626950</v>
      </c>
      <c r="P927" s="188">
        <v>635000</v>
      </c>
      <c r="Q927" s="188">
        <v>635000</v>
      </c>
      <c r="R927" s="188">
        <v>640000</v>
      </c>
      <c r="S927" s="188">
        <v>640000</v>
      </c>
      <c r="T927" s="188">
        <v>645000</v>
      </c>
      <c r="V927" s="487"/>
      <c r="W927" s="488"/>
    </row>
    <row r="928" spans="1:25" ht="24" customHeight="1">
      <c r="A928" s="320" t="s">
        <v>531</v>
      </c>
      <c r="B928" s="255"/>
      <c r="C928" s="255"/>
      <c r="D928" s="320" t="s">
        <v>44</v>
      </c>
      <c r="E928" s="255"/>
      <c r="F928" s="255"/>
      <c r="G928" s="255"/>
      <c r="H928" s="255"/>
      <c r="I928" s="255"/>
      <c r="J928" s="255"/>
      <c r="K928" s="255"/>
      <c r="L928" s="264">
        <v>5272</v>
      </c>
      <c r="M928" s="264">
        <v>5525</v>
      </c>
      <c r="N928" s="189">
        <v>5000</v>
      </c>
      <c r="O928" s="189">
        <v>5250</v>
      </c>
      <c r="P928" s="188">
        <v>5250</v>
      </c>
      <c r="Q928" s="188">
        <v>5250</v>
      </c>
      <c r="R928" s="188">
        <v>5250</v>
      </c>
      <c r="S928" s="188">
        <v>5250</v>
      </c>
      <c r="T928" s="188">
        <v>5250</v>
      </c>
    </row>
    <row r="929" spans="1:29" ht="24" customHeight="1">
      <c r="A929" s="320" t="s">
        <v>532</v>
      </c>
      <c r="B929" s="255"/>
      <c r="C929" s="255"/>
      <c r="D929" s="159" t="s">
        <v>43</v>
      </c>
      <c r="E929" s="255"/>
      <c r="F929" s="255"/>
      <c r="G929" s="255"/>
      <c r="H929" s="255"/>
      <c r="I929" s="255"/>
      <c r="J929" s="255"/>
      <c r="K929" s="255"/>
      <c r="L929" s="188">
        <v>18852</v>
      </c>
      <c r="M929" s="188">
        <v>17389</v>
      </c>
      <c r="N929" s="189">
        <v>17200</v>
      </c>
      <c r="O929" s="189">
        <v>21151</v>
      </c>
      <c r="P929" s="188">
        <v>17200</v>
      </c>
      <c r="Q929" s="188">
        <v>17200</v>
      </c>
      <c r="R929" s="188">
        <v>17200</v>
      </c>
      <c r="S929" s="188">
        <v>17200</v>
      </c>
      <c r="T929" s="188">
        <v>17200</v>
      </c>
      <c r="V929" s="191"/>
    </row>
    <row r="930" spans="1:29" ht="24" customHeight="1">
      <c r="A930" s="320" t="s">
        <v>533</v>
      </c>
      <c r="B930" s="321"/>
      <c r="C930" s="321"/>
      <c r="D930" s="320" t="s">
        <v>534</v>
      </c>
      <c r="E930" s="321"/>
      <c r="F930" s="321"/>
      <c r="G930" s="321"/>
      <c r="H930" s="321"/>
      <c r="I930" s="321"/>
      <c r="J930" s="321"/>
      <c r="K930" s="321"/>
      <c r="L930" s="264">
        <v>9404</v>
      </c>
      <c r="M930" s="264">
        <v>9680</v>
      </c>
      <c r="N930" s="189">
        <v>9300</v>
      </c>
      <c r="O930" s="189">
        <v>9300</v>
      </c>
      <c r="P930" s="188">
        <v>9300</v>
      </c>
      <c r="Q930" s="188">
        <v>9300</v>
      </c>
      <c r="R930" s="188">
        <v>9300</v>
      </c>
      <c r="S930" s="188">
        <v>9300</v>
      </c>
      <c r="T930" s="188">
        <v>9300</v>
      </c>
    </row>
    <row r="931" spans="1:29" ht="24" customHeight="1">
      <c r="A931" s="320" t="s">
        <v>535</v>
      </c>
      <c r="B931" s="321"/>
      <c r="C931" s="321"/>
      <c r="D931" s="320" t="s">
        <v>536</v>
      </c>
      <c r="E931" s="321"/>
      <c r="F931" s="321"/>
      <c r="G931" s="321"/>
      <c r="H931" s="321"/>
      <c r="I931" s="321"/>
      <c r="J931" s="321"/>
      <c r="K931" s="321"/>
      <c r="L931" s="264">
        <v>10434</v>
      </c>
      <c r="M931" s="264">
        <v>7194</v>
      </c>
      <c r="N931" s="189">
        <v>10000</v>
      </c>
      <c r="O931" s="189">
        <v>7500</v>
      </c>
      <c r="P931" s="188">
        <v>7500</v>
      </c>
      <c r="Q931" s="188">
        <v>7500</v>
      </c>
      <c r="R931" s="188">
        <v>7500</v>
      </c>
      <c r="S931" s="188">
        <v>7500</v>
      </c>
      <c r="T931" s="188">
        <v>7500</v>
      </c>
    </row>
    <row r="932" spans="1:29" ht="24" customHeight="1">
      <c r="A932" s="320" t="s">
        <v>537</v>
      </c>
      <c r="B932" s="255"/>
      <c r="C932" s="255"/>
      <c r="D932" s="320" t="s">
        <v>538</v>
      </c>
      <c r="E932" s="255"/>
      <c r="F932" s="255"/>
      <c r="G932" s="255"/>
      <c r="H932" s="255"/>
      <c r="I932" s="255"/>
      <c r="J932" s="255"/>
      <c r="K932" s="255"/>
      <c r="L932" s="264">
        <v>2748</v>
      </c>
      <c r="M932" s="264">
        <v>2628</v>
      </c>
      <c r="N932" s="189">
        <v>3000</v>
      </c>
      <c r="O932" s="189">
        <v>3000</v>
      </c>
      <c r="P932" s="188">
        <v>3000</v>
      </c>
      <c r="Q932" s="188">
        <v>3000</v>
      </c>
      <c r="R932" s="188">
        <v>3000</v>
      </c>
      <c r="S932" s="188">
        <v>3000</v>
      </c>
      <c r="T932" s="188">
        <v>3000</v>
      </c>
    </row>
    <row r="933" spans="1:29" ht="24" customHeight="1">
      <c r="A933" s="320" t="s">
        <v>1336</v>
      </c>
      <c r="B933" s="255"/>
      <c r="C933" s="255"/>
      <c r="D933" s="320" t="s">
        <v>462</v>
      </c>
      <c r="E933" s="255"/>
      <c r="F933" s="255"/>
      <c r="G933" s="255"/>
      <c r="H933" s="255"/>
      <c r="I933" s="255"/>
      <c r="J933" s="255"/>
      <c r="K933" s="255"/>
      <c r="L933" s="265">
        <v>1008</v>
      </c>
      <c r="M933" s="265">
        <v>885</v>
      </c>
      <c r="N933" s="195">
        <v>1000</v>
      </c>
      <c r="O933" s="195">
        <v>1000</v>
      </c>
      <c r="P933" s="192">
        <v>1000</v>
      </c>
      <c r="Q933" s="192">
        <v>1000</v>
      </c>
      <c r="R933" s="192">
        <v>1000</v>
      </c>
      <c r="S933" s="192">
        <v>1000</v>
      </c>
      <c r="T933" s="192">
        <v>1000</v>
      </c>
    </row>
    <row r="934" spans="1:29" ht="24" customHeight="1">
      <c r="A934" s="320" t="s">
        <v>539</v>
      </c>
      <c r="B934" s="321"/>
      <c r="C934" s="321"/>
      <c r="D934" s="746" t="s">
        <v>6</v>
      </c>
      <c r="E934" s="746"/>
      <c r="F934" s="746"/>
      <c r="G934" s="746"/>
      <c r="H934" s="746"/>
      <c r="I934" s="746"/>
      <c r="J934" s="746"/>
      <c r="K934" s="746"/>
      <c r="L934" s="264">
        <v>1257</v>
      </c>
      <c r="M934" s="264">
        <v>1313</v>
      </c>
      <c r="N934" s="189">
        <v>1300</v>
      </c>
      <c r="O934" s="189">
        <v>750</v>
      </c>
      <c r="P934" s="188">
        <v>1500</v>
      </c>
      <c r="Q934" s="188">
        <v>400</v>
      </c>
      <c r="R934" s="188">
        <v>400</v>
      </c>
      <c r="S934" s="188">
        <v>400</v>
      </c>
      <c r="T934" s="188">
        <v>400</v>
      </c>
    </row>
    <row r="935" spans="1:29" ht="24" customHeight="1">
      <c r="A935" s="320" t="s">
        <v>668</v>
      </c>
      <c r="B935" s="321"/>
      <c r="C935" s="321"/>
      <c r="D935" s="320" t="s">
        <v>265</v>
      </c>
      <c r="E935" s="321"/>
      <c r="F935" s="321"/>
      <c r="G935" s="321"/>
      <c r="H935" s="321"/>
      <c r="I935" s="321"/>
      <c r="J935" s="321"/>
      <c r="K935" s="321"/>
      <c r="L935" s="265">
        <v>8685</v>
      </c>
      <c r="M935" s="265">
        <v>0</v>
      </c>
      <c r="N935" s="195">
        <v>0</v>
      </c>
      <c r="O935" s="195">
        <v>0</v>
      </c>
      <c r="P935" s="192">
        <v>0</v>
      </c>
      <c r="Q935" s="192">
        <v>0</v>
      </c>
      <c r="R935" s="192">
        <v>0</v>
      </c>
      <c r="S935" s="192">
        <v>0</v>
      </c>
      <c r="T935" s="192">
        <v>0</v>
      </c>
      <c r="V935" s="187"/>
      <c r="AA935" s="187"/>
    </row>
    <row r="936" spans="1:29" ht="24" customHeight="1">
      <c r="A936" s="320" t="s">
        <v>673</v>
      </c>
      <c r="B936" s="321"/>
      <c r="C936" s="321"/>
      <c r="D936" s="320" t="s">
        <v>262</v>
      </c>
      <c r="E936" s="321"/>
      <c r="F936" s="321"/>
      <c r="G936" s="321"/>
      <c r="H936" s="321"/>
      <c r="I936" s="321"/>
      <c r="J936" s="321"/>
      <c r="K936" s="321"/>
      <c r="L936" s="265">
        <v>711</v>
      </c>
      <c r="M936" s="265">
        <v>0</v>
      </c>
      <c r="N936" s="197">
        <v>0</v>
      </c>
      <c r="O936" s="197">
        <v>0</v>
      </c>
      <c r="P936" s="196">
        <v>0</v>
      </c>
      <c r="Q936" s="196">
        <v>0</v>
      </c>
      <c r="R936" s="196">
        <v>0</v>
      </c>
      <c r="S936" s="196">
        <v>0</v>
      </c>
      <c r="T936" s="196">
        <v>0</v>
      </c>
      <c r="V936" s="187"/>
      <c r="AA936" s="187"/>
    </row>
    <row r="937" spans="1:29" ht="24" customHeight="1">
      <c r="A937" s="320" t="s">
        <v>540</v>
      </c>
      <c r="B937" s="255"/>
      <c r="C937" s="255"/>
      <c r="D937" s="320" t="s">
        <v>239</v>
      </c>
      <c r="E937" s="255"/>
      <c r="F937" s="255"/>
      <c r="G937" s="255"/>
      <c r="H937" s="255"/>
      <c r="I937" s="255"/>
      <c r="J937" s="255"/>
      <c r="K937" s="255"/>
      <c r="L937" s="268">
        <v>1556</v>
      </c>
      <c r="M937" s="268">
        <v>2098</v>
      </c>
      <c r="N937" s="197">
        <v>2000</v>
      </c>
      <c r="O937" s="197">
        <v>2000</v>
      </c>
      <c r="P937" s="196">
        <v>2000</v>
      </c>
      <c r="Q937" s="196">
        <v>2000</v>
      </c>
      <c r="R937" s="196">
        <v>2000</v>
      </c>
      <c r="S937" s="196">
        <v>2000</v>
      </c>
      <c r="T937" s="196">
        <v>2000</v>
      </c>
    </row>
    <row r="938" spans="1:29" ht="24" customHeight="1">
      <c r="A938" s="320" t="s">
        <v>541</v>
      </c>
      <c r="B938" s="255"/>
      <c r="C938" s="255"/>
      <c r="D938" s="320" t="s">
        <v>542</v>
      </c>
      <c r="E938" s="341"/>
      <c r="F938" s="341"/>
      <c r="G938" s="341"/>
      <c r="H938" s="341"/>
      <c r="I938" s="341"/>
      <c r="J938" s="341"/>
      <c r="K938" s="341"/>
      <c r="L938" s="268">
        <v>4884</v>
      </c>
      <c r="M938" s="268">
        <v>4550</v>
      </c>
      <c r="N938" s="197">
        <v>5000</v>
      </c>
      <c r="O938" s="197">
        <v>5000</v>
      </c>
      <c r="P938" s="196">
        <v>5000</v>
      </c>
      <c r="Q938" s="196">
        <v>5000</v>
      </c>
      <c r="R938" s="196">
        <v>5000</v>
      </c>
      <c r="S938" s="196">
        <v>5000</v>
      </c>
      <c r="T938" s="196">
        <v>5000</v>
      </c>
    </row>
    <row r="939" spans="1:29" ht="24" customHeight="1">
      <c r="A939" s="320" t="s">
        <v>543</v>
      </c>
      <c r="B939" s="255"/>
      <c r="C939" s="255"/>
      <c r="D939" s="320" t="s">
        <v>1177</v>
      </c>
      <c r="E939" s="255"/>
      <c r="F939" s="255"/>
      <c r="G939" s="255"/>
      <c r="H939" s="255"/>
      <c r="I939" s="255"/>
      <c r="J939" s="255"/>
      <c r="K939" s="255"/>
      <c r="L939" s="268">
        <v>5201</v>
      </c>
      <c r="M939" s="268">
        <v>0</v>
      </c>
      <c r="N939" s="197">
        <v>0</v>
      </c>
      <c r="O939" s="197">
        <v>0</v>
      </c>
      <c r="P939" s="196">
        <v>0</v>
      </c>
      <c r="Q939" s="196">
        <v>0</v>
      </c>
      <c r="R939" s="196">
        <v>0</v>
      </c>
      <c r="S939" s="196">
        <v>0</v>
      </c>
      <c r="T939" s="196">
        <v>0</v>
      </c>
      <c r="V939" s="187"/>
    </row>
    <row r="940" spans="1:29" ht="24" customHeight="1">
      <c r="A940" s="320" t="s">
        <v>544</v>
      </c>
      <c r="B940" s="255"/>
      <c r="C940" s="255"/>
      <c r="D940" s="320" t="s">
        <v>7</v>
      </c>
      <c r="E940" s="255"/>
      <c r="F940" s="255"/>
      <c r="G940" s="255"/>
      <c r="H940" s="255"/>
      <c r="I940" s="255"/>
      <c r="J940" s="255"/>
      <c r="K940" s="255"/>
      <c r="L940" s="265">
        <v>848</v>
      </c>
      <c r="M940" s="265">
        <v>1344</v>
      </c>
      <c r="N940" s="195">
        <v>500</v>
      </c>
      <c r="O940" s="195">
        <v>500</v>
      </c>
      <c r="P940" s="192">
        <v>500</v>
      </c>
      <c r="Q940" s="192">
        <v>500</v>
      </c>
      <c r="R940" s="192">
        <v>500</v>
      </c>
      <c r="S940" s="192">
        <v>500</v>
      </c>
      <c r="T940" s="192">
        <v>500</v>
      </c>
    </row>
    <row r="941" spans="1:29" ht="24" customHeight="1">
      <c r="A941" s="320" t="s">
        <v>604</v>
      </c>
      <c r="B941" s="255"/>
      <c r="C941" s="255"/>
      <c r="D941" s="532" t="s">
        <v>285</v>
      </c>
      <c r="E941" s="532"/>
      <c r="F941" s="532"/>
      <c r="G941" s="532"/>
      <c r="H941" s="532"/>
      <c r="I941" s="532"/>
      <c r="J941" s="532"/>
      <c r="K941" s="532"/>
      <c r="L941" s="303">
        <v>26819</v>
      </c>
      <c r="M941" s="303">
        <v>45948</v>
      </c>
      <c r="N941" s="202">
        <v>32375</v>
      </c>
      <c r="O941" s="202">
        <v>32375</v>
      </c>
      <c r="P941" s="201">
        <f t="shared" ref="P941:R941" si="250">P954+P953</f>
        <v>34168</v>
      </c>
      <c r="Q941" s="201">
        <f t="shared" si="250"/>
        <v>35568</v>
      </c>
      <c r="R941" s="201">
        <f t="shared" si="250"/>
        <v>37582</v>
      </c>
      <c r="S941" s="201">
        <f t="shared" ref="S941:T941" si="251">S954+S953</f>
        <v>39717</v>
      </c>
      <c r="T941" s="201">
        <f t="shared" si="251"/>
        <v>41980</v>
      </c>
      <c r="V941" s="187"/>
      <c r="Z941" s="246"/>
      <c r="AA941" s="246"/>
      <c r="AB941" s="246"/>
      <c r="AC941" s="246"/>
    </row>
    <row r="942" spans="1:29" ht="15" customHeight="1">
      <c r="A942" s="255"/>
      <c r="B942" s="255"/>
      <c r="C942" s="255"/>
      <c r="D942" s="255"/>
      <c r="E942" s="255"/>
      <c r="F942" s="255"/>
      <c r="G942" s="255"/>
      <c r="H942" s="255"/>
      <c r="I942" s="255"/>
      <c r="J942" s="255"/>
      <c r="K942" s="255"/>
      <c r="L942" s="271"/>
      <c r="M942" s="271"/>
      <c r="N942" s="204"/>
      <c r="O942" s="204"/>
      <c r="P942" s="203"/>
      <c r="Q942" s="203"/>
      <c r="R942" s="203"/>
      <c r="S942" s="203"/>
      <c r="T942" s="203"/>
    </row>
    <row r="943" spans="1:29" s="255" customFormat="1" ht="24" customHeight="1">
      <c r="K943" s="324" t="s">
        <v>595</v>
      </c>
      <c r="L943" s="273">
        <f t="shared" ref="L943" si="252">SUM(L927:L942)</f>
        <v>789584</v>
      </c>
      <c r="M943" s="273">
        <f t="shared" ref="M943:T943" si="253">SUM(M927:M942)</f>
        <v>741392</v>
      </c>
      <c r="N943" s="274">
        <f>SUM(N927:N942)</f>
        <v>732685</v>
      </c>
      <c r="O943" s="274">
        <f>SUM(O927:O942)</f>
        <v>714776</v>
      </c>
      <c r="P943" s="273">
        <f t="shared" si="253"/>
        <v>721418</v>
      </c>
      <c r="Q943" s="273">
        <f t="shared" si="253"/>
        <v>721718</v>
      </c>
      <c r="R943" s="273">
        <f t="shared" si="253"/>
        <v>728732</v>
      </c>
      <c r="S943" s="273">
        <f t="shared" ref="S943" si="254">SUM(S927:S942)</f>
        <v>730867</v>
      </c>
      <c r="T943" s="273">
        <f t="shared" si="253"/>
        <v>738130</v>
      </c>
      <c r="U943" s="542"/>
    </row>
    <row r="944" spans="1:29" ht="15" customHeight="1">
      <c r="A944" s="255"/>
      <c r="B944" s="255"/>
      <c r="C944" s="255"/>
      <c r="D944" s="255"/>
      <c r="E944" s="255"/>
      <c r="F944" s="255"/>
      <c r="G944" s="255"/>
      <c r="H944" s="255"/>
      <c r="I944" s="255"/>
      <c r="J944" s="255"/>
      <c r="K944" s="255"/>
      <c r="L944" s="271"/>
      <c r="M944" s="271"/>
      <c r="N944" s="204"/>
      <c r="O944" s="204"/>
      <c r="P944" s="203"/>
      <c r="Q944" s="203"/>
      <c r="R944" s="203"/>
      <c r="S944" s="203"/>
      <c r="T944" s="203"/>
    </row>
    <row r="945" spans="1:27" ht="24" customHeight="1">
      <c r="A945" s="320" t="s">
        <v>545</v>
      </c>
      <c r="B945" s="321"/>
      <c r="C945" s="321"/>
      <c r="D945" s="320" t="s">
        <v>1003</v>
      </c>
      <c r="E945" s="321"/>
      <c r="F945" s="321"/>
      <c r="G945" s="321"/>
      <c r="H945" s="321"/>
      <c r="I945" s="321"/>
      <c r="J945" s="321"/>
      <c r="K945" s="321"/>
      <c r="L945" s="264">
        <v>244847</v>
      </c>
      <c r="M945" s="264">
        <v>245323</v>
      </c>
      <c r="N945" s="189">
        <v>252540</v>
      </c>
      <c r="O945" s="189">
        <v>252540</v>
      </c>
      <c r="P945" s="188">
        <v>202860</v>
      </c>
      <c r="Q945" s="188">
        <v>202860</v>
      </c>
      <c r="R945" s="188">
        <v>202860</v>
      </c>
      <c r="S945" s="188">
        <v>202860</v>
      </c>
      <c r="T945" s="188">
        <v>202860</v>
      </c>
      <c r="V945" s="487"/>
      <c r="W945" s="488"/>
      <c r="X945" s="488"/>
      <c r="Y945" s="488"/>
    </row>
    <row r="946" spans="1:27" ht="24" customHeight="1">
      <c r="A946" s="320" t="s">
        <v>546</v>
      </c>
      <c r="B946" s="321"/>
      <c r="C946" s="321"/>
      <c r="D946" s="320" t="s">
        <v>73</v>
      </c>
      <c r="E946" s="321"/>
      <c r="F946" s="321"/>
      <c r="G946" s="321"/>
      <c r="H946" s="321"/>
      <c r="I946" s="321"/>
      <c r="J946" s="321"/>
      <c r="K946" s="321"/>
      <c r="L946" s="266">
        <v>175436</v>
      </c>
      <c r="M946" s="266">
        <v>169202</v>
      </c>
      <c r="N946" s="194">
        <v>195000</v>
      </c>
      <c r="O946" s="194">
        <v>195000</v>
      </c>
      <c r="P946" s="193">
        <v>195000</v>
      </c>
      <c r="Q946" s="193">
        <v>195000</v>
      </c>
      <c r="R946" s="193">
        <v>195000</v>
      </c>
      <c r="S946" s="193">
        <v>195000</v>
      </c>
      <c r="T946" s="193">
        <v>195000</v>
      </c>
      <c r="V946" s="487"/>
      <c r="W946" s="488"/>
      <c r="X946" s="488"/>
      <c r="Y946" s="488"/>
    </row>
    <row r="947" spans="1:27" ht="24" customHeight="1">
      <c r="A947" s="320" t="s">
        <v>547</v>
      </c>
      <c r="B947" s="321"/>
      <c r="C947" s="321"/>
      <c r="D947" s="320" t="s">
        <v>8</v>
      </c>
      <c r="E947" s="321"/>
      <c r="F947" s="321"/>
      <c r="G947" s="321"/>
      <c r="H947" s="321"/>
      <c r="I947" s="321"/>
      <c r="J947" s="321"/>
      <c r="K947" s="321"/>
      <c r="L947" s="265">
        <v>26152</v>
      </c>
      <c r="M947" s="265">
        <v>27138</v>
      </c>
      <c r="N947" s="186">
        <v>30117</v>
      </c>
      <c r="O947" s="186">
        <v>30117</v>
      </c>
      <c r="P947" s="188">
        <v>22569</v>
      </c>
      <c r="Q947" s="188">
        <v>24871</v>
      </c>
      <c r="R947" s="188">
        <v>26352</v>
      </c>
      <c r="S947" s="188">
        <v>27934</v>
      </c>
      <c r="T947" s="188">
        <v>29618</v>
      </c>
      <c r="V947" s="487"/>
      <c r="W947" s="488"/>
      <c r="X947" s="488"/>
      <c r="Y947" s="488"/>
    </row>
    <row r="948" spans="1:27" ht="24" customHeight="1">
      <c r="A948" s="320" t="s">
        <v>548</v>
      </c>
      <c r="B948" s="255"/>
      <c r="C948" s="255"/>
      <c r="D948" s="320" t="s">
        <v>9</v>
      </c>
      <c r="E948" s="255"/>
      <c r="F948" s="255"/>
      <c r="G948" s="255"/>
      <c r="H948" s="255"/>
      <c r="I948" s="255"/>
      <c r="J948" s="255"/>
      <c r="K948" s="255"/>
      <c r="L948" s="264">
        <v>31483</v>
      </c>
      <c r="M948" s="264">
        <v>30993</v>
      </c>
      <c r="N948" s="189">
        <v>33484</v>
      </c>
      <c r="O948" s="189">
        <v>33484</v>
      </c>
      <c r="P948" s="188">
        <v>29849</v>
      </c>
      <c r="Q948" s="188">
        <v>29849</v>
      </c>
      <c r="R948" s="188">
        <v>29849</v>
      </c>
      <c r="S948" s="188">
        <v>29849</v>
      </c>
      <c r="T948" s="188">
        <v>29849</v>
      </c>
      <c r="U948" s="392"/>
      <c r="V948" s="487"/>
      <c r="W948" s="488"/>
      <c r="X948" s="488"/>
      <c r="Y948" s="488"/>
    </row>
    <row r="949" spans="1:27" ht="24" customHeight="1">
      <c r="A949" s="320" t="s">
        <v>549</v>
      </c>
      <c r="B949" s="321"/>
      <c r="C949" s="321"/>
      <c r="D949" s="320" t="s">
        <v>13</v>
      </c>
      <c r="E949" s="321"/>
      <c r="F949" s="321"/>
      <c r="G949" s="321"/>
      <c r="H949" s="321"/>
      <c r="I949" s="321"/>
      <c r="J949" s="321"/>
      <c r="K949" s="321"/>
      <c r="L949" s="264">
        <v>85076</v>
      </c>
      <c r="M949" s="264">
        <v>81269</v>
      </c>
      <c r="N949" s="189">
        <v>101904</v>
      </c>
      <c r="O949" s="189">
        <v>101904</v>
      </c>
      <c r="P949" s="193">
        <v>78823</v>
      </c>
      <c r="Q949" s="193">
        <v>85129</v>
      </c>
      <c r="R949" s="193">
        <v>91939</v>
      </c>
      <c r="S949" s="193">
        <v>99294</v>
      </c>
      <c r="T949" s="193">
        <v>107238</v>
      </c>
      <c r="V949" s="487"/>
      <c r="W949" s="488"/>
      <c r="X949" s="487"/>
      <c r="Y949" s="488"/>
      <c r="AA949" s="187"/>
    </row>
    <row r="950" spans="1:27" ht="24" customHeight="1">
      <c r="A950" s="320" t="s">
        <v>550</v>
      </c>
      <c r="B950" s="255"/>
      <c r="C950" s="255"/>
      <c r="D950" s="320" t="s">
        <v>187</v>
      </c>
      <c r="E950" s="255"/>
      <c r="F950" s="255"/>
      <c r="G950" s="255"/>
      <c r="H950" s="255"/>
      <c r="I950" s="255"/>
      <c r="J950" s="255"/>
      <c r="K950" s="255"/>
      <c r="L950" s="264">
        <v>1027</v>
      </c>
      <c r="M950" s="264">
        <v>525</v>
      </c>
      <c r="N950" s="189">
        <v>559</v>
      </c>
      <c r="O950" s="189">
        <v>559</v>
      </c>
      <c r="P950" s="193">
        <v>418</v>
      </c>
      <c r="Q950" s="193">
        <v>422</v>
      </c>
      <c r="R950" s="193">
        <v>426</v>
      </c>
      <c r="S950" s="193">
        <v>430</v>
      </c>
      <c r="T950" s="193">
        <v>434</v>
      </c>
      <c r="V950" s="487"/>
      <c r="W950" s="488"/>
      <c r="X950" s="487"/>
      <c r="Y950" s="488"/>
      <c r="AA950" s="187"/>
    </row>
    <row r="951" spans="1:27" ht="24" customHeight="1">
      <c r="A951" s="320" t="s">
        <v>551</v>
      </c>
      <c r="B951" s="255"/>
      <c r="C951" s="255"/>
      <c r="D951" s="320" t="s">
        <v>652</v>
      </c>
      <c r="E951" s="255"/>
      <c r="F951" s="255"/>
      <c r="G951" s="255"/>
      <c r="H951" s="255"/>
      <c r="I951" s="255"/>
      <c r="J951" s="255"/>
      <c r="K951" s="255"/>
      <c r="L951" s="265">
        <v>5950</v>
      </c>
      <c r="M951" s="265">
        <v>5092</v>
      </c>
      <c r="N951" s="186">
        <v>5347</v>
      </c>
      <c r="O951" s="186">
        <v>5347</v>
      </c>
      <c r="P951" s="193">
        <v>4690</v>
      </c>
      <c r="Q951" s="193">
        <v>4925</v>
      </c>
      <c r="R951" s="193">
        <v>5171</v>
      </c>
      <c r="S951" s="193">
        <v>5430</v>
      </c>
      <c r="T951" s="193">
        <v>5702</v>
      </c>
      <c r="V951" s="487"/>
      <c r="W951" s="488"/>
      <c r="X951" s="487"/>
      <c r="Y951" s="488"/>
      <c r="AA951" s="187"/>
    </row>
    <row r="952" spans="1:27" ht="24" customHeight="1">
      <c r="A952" s="320" t="s">
        <v>662</v>
      </c>
      <c r="B952" s="255"/>
      <c r="C952" s="255"/>
      <c r="D952" s="320" t="s">
        <v>654</v>
      </c>
      <c r="E952" s="255"/>
      <c r="F952" s="255"/>
      <c r="G952" s="255"/>
      <c r="H952" s="255"/>
      <c r="I952" s="255"/>
      <c r="J952" s="255"/>
      <c r="K952" s="255"/>
      <c r="L952" s="265">
        <v>643</v>
      </c>
      <c r="M952" s="265">
        <v>643</v>
      </c>
      <c r="N952" s="186">
        <v>662</v>
      </c>
      <c r="O952" s="186">
        <v>662</v>
      </c>
      <c r="P952" s="193">
        <v>496</v>
      </c>
      <c r="Q952" s="193">
        <v>511</v>
      </c>
      <c r="R952" s="193">
        <v>526</v>
      </c>
      <c r="S952" s="193">
        <v>542</v>
      </c>
      <c r="T952" s="193">
        <v>558</v>
      </c>
      <c r="V952" s="487"/>
      <c r="W952" s="488"/>
      <c r="X952" s="487"/>
      <c r="Y952" s="488"/>
      <c r="AA952" s="187"/>
    </row>
    <row r="953" spans="1:27" ht="24" customHeight="1">
      <c r="A953" s="320" t="s">
        <v>771</v>
      </c>
      <c r="B953" s="255"/>
      <c r="C953" s="255"/>
      <c r="D953" s="320" t="s">
        <v>186</v>
      </c>
      <c r="E953" s="255"/>
      <c r="F953" s="255"/>
      <c r="G953" s="255"/>
      <c r="H953" s="255"/>
      <c r="I953" s="255"/>
      <c r="J953" s="255"/>
      <c r="K953" s="255"/>
      <c r="L953" s="265">
        <v>2435</v>
      </c>
      <c r="M953" s="265">
        <v>681</v>
      </c>
      <c r="N953" s="186">
        <v>2500</v>
      </c>
      <c r="O953" s="186">
        <v>550</v>
      </c>
      <c r="P953" s="185">
        <v>2500</v>
      </c>
      <c r="Q953" s="185">
        <v>2000</v>
      </c>
      <c r="R953" s="185">
        <v>2000</v>
      </c>
      <c r="S953" s="185">
        <v>2000</v>
      </c>
      <c r="T953" s="185">
        <v>2000</v>
      </c>
      <c r="V953" s="187"/>
    </row>
    <row r="954" spans="1:27" ht="24" customHeight="1">
      <c r="A954" s="320" t="s">
        <v>751</v>
      </c>
      <c r="B954" s="255"/>
      <c r="C954" s="255"/>
      <c r="D954" s="320" t="s">
        <v>245</v>
      </c>
      <c r="E954" s="255"/>
      <c r="F954" s="255"/>
      <c r="G954" s="255"/>
      <c r="H954" s="255"/>
      <c r="I954" s="255"/>
      <c r="J954" s="255"/>
      <c r="K954" s="255"/>
      <c r="L954" s="265">
        <v>24947</v>
      </c>
      <c r="M954" s="265">
        <v>23777</v>
      </c>
      <c r="N954" s="186">
        <v>29875</v>
      </c>
      <c r="O954" s="186">
        <v>25500</v>
      </c>
      <c r="P954" s="188">
        <v>31668</v>
      </c>
      <c r="Q954" s="188">
        <f>ROUND(P954*1.06,0)</f>
        <v>33568</v>
      </c>
      <c r="R954" s="188">
        <f t="shared" ref="R954:T954" si="255">ROUND(Q954*1.06,0)</f>
        <v>35582</v>
      </c>
      <c r="S954" s="188">
        <f t="shared" si="255"/>
        <v>37717</v>
      </c>
      <c r="T954" s="188">
        <f t="shared" si="255"/>
        <v>39980</v>
      </c>
      <c r="V954" s="487"/>
      <c r="W954" s="488"/>
      <c r="X954" s="703"/>
    </row>
    <row r="955" spans="1:27" ht="24" customHeight="1">
      <c r="A955" s="320" t="s">
        <v>552</v>
      </c>
      <c r="B955" s="321"/>
      <c r="C955" s="321"/>
      <c r="D955" s="320" t="s">
        <v>96</v>
      </c>
      <c r="E955" s="321"/>
      <c r="F955" s="321"/>
      <c r="G955" s="321"/>
      <c r="H955" s="321"/>
      <c r="I955" s="321"/>
      <c r="J955" s="321"/>
      <c r="K955" s="321"/>
      <c r="L955" s="264">
        <v>0</v>
      </c>
      <c r="M955" s="264">
        <v>232</v>
      </c>
      <c r="N955" s="189">
        <v>500</v>
      </c>
      <c r="O955" s="189">
        <v>500</v>
      </c>
      <c r="P955" s="188">
        <v>500</v>
      </c>
      <c r="Q955" s="188">
        <v>500</v>
      </c>
      <c r="R955" s="188">
        <v>500</v>
      </c>
      <c r="S955" s="188">
        <v>500</v>
      </c>
      <c r="T955" s="188">
        <v>500</v>
      </c>
    </row>
    <row r="956" spans="1:27" ht="24" customHeight="1">
      <c r="A956" s="320" t="s">
        <v>553</v>
      </c>
      <c r="B956" s="321"/>
      <c r="C956" s="321"/>
      <c r="D956" s="320" t="s">
        <v>1166</v>
      </c>
      <c r="E956" s="321"/>
      <c r="F956" s="321"/>
      <c r="G956" s="321"/>
      <c r="H956" s="321"/>
      <c r="I956" s="321"/>
      <c r="J956" s="321"/>
      <c r="K956" s="321"/>
      <c r="L956" s="265">
        <v>798</v>
      </c>
      <c r="M956" s="265">
        <v>541</v>
      </c>
      <c r="N956" s="186">
        <v>600</v>
      </c>
      <c r="O956" s="186">
        <v>600</v>
      </c>
      <c r="P956" s="185">
        <v>600</v>
      </c>
      <c r="Q956" s="185">
        <v>600</v>
      </c>
      <c r="R956" s="185">
        <v>600</v>
      </c>
      <c r="S956" s="185">
        <v>600</v>
      </c>
      <c r="T956" s="185">
        <v>600</v>
      </c>
    </row>
    <row r="957" spans="1:27" ht="24" customHeight="1">
      <c r="A957" s="320" t="s">
        <v>554</v>
      </c>
      <c r="B957" s="321"/>
      <c r="C957" s="321"/>
      <c r="D957" s="320" t="s">
        <v>95</v>
      </c>
      <c r="E957" s="321"/>
      <c r="F957" s="321"/>
      <c r="G957" s="321"/>
      <c r="H957" s="321"/>
      <c r="I957" s="321"/>
      <c r="J957" s="321"/>
      <c r="K957" s="321"/>
      <c r="L957" s="264">
        <v>22</v>
      </c>
      <c r="M957" s="264">
        <v>46</v>
      </c>
      <c r="N957" s="189">
        <v>100</v>
      </c>
      <c r="O957" s="189">
        <v>100</v>
      </c>
      <c r="P957" s="188">
        <v>100</v>
      </c>
      <c r="Q957" s="188">
        <v>100</v>
      </c>
      <c r="R957" s="188">
        <v>100</v>
      </c>
      <c r="S957" s="188">
        <v>100</v>
      </c>
      <c r="T957" s="188">
        <v>100</v>
      </c>
    </row>
    <row r="958" spans="1:27" ht="24" customHeight="1">
      <c r="A958" s="320" t="s">
        <v>555</v>
      </c>
      <c r="B958" s="255"/>
      <c r="C958" s="255"/>
      <c r="D958" s="320" t="s">
        <v>240</v>
      </c>
      <c r="E958" s="255"/>
      <c r="F958" s="255"/>
      <c r="G958" s="255"/>
      <c r="H958" s="255"/>
      <c r="I958" s="255"/>
      <c r="J958" s="255"/>
      <c r="K958" s="255"/>
      <c r="L958" s="264">
        <v>10982</v>
      </c>
      <c r="M958" s="264">
        <v>11941</v>
      </c>
      <c r="N958" s="189">
        <v>11000</v>
      </c>
      <c r="O958" s="189">
        <v>11000</v>
      </c>
      <c r="P958" s="188">
        <v>11000</v>
      </c>
      <c r="Q958" s="188">
        <v>11000</v>
      </c>
      <c r="R958" s="188">
        <v>11000</v>
      </c>
      <c r="S958" s="188">
        <v>11000</v>
      </c>
      <c r="T958" s="188">
        <v>11000</v>
      </c>
    </row>
    <row r="959" spans="1:27" ht="24" customHeight="1">
      <c r="A959" s="320" t="s">
        <v>556</v>
      </c>
      <c r="B959" s="321"/>
      <c r="C959" s="321"/>
      <c r="D959" s="320" t="s">
        <v>94</v>
      </c>
      <c r="E959" s="321"/>
      <c r="F959" s="321"/>
      <c r="G959" s="321"/>
      <c r="H959" s="321"/>
      <c r="I959" s="321"/>
      <c r="J959" s="321"/>
      <c r="K959" s="321"/>
      <c r="L959" s="264">
        <v>244</v>
      </c>
      <c r="M959" s="264">
        <v>509</v>
      </c>
      <c r="N959" s="189">
        <v>500</v>
      </c>
      <c r="O959" s="189">
        <v>500</v>
      </c>
      <c r="P959" s="188">
        <v>500</v>
      </c>
      <c r="Q959" s="188">
        <v>500</v>
      </c>
      <c r="R959" s="188">
        <v>500</v>
      </c>
      <c r="S959" s="188">
        <v>500</v>
      </c>
      <c r="T959" s="188">
        <v>500</v>
      </c>
    </row>
    <row r="960" spans="1:27" ht="24" customHeight="1">
      <c r="A960" s="320" t="s">
        <v>557</v>
      </c>
      <c r="B960" s="255"/>
      <c r="C960" s="255"/>
      <c r="D960" s="320" t="s">
        <v>1168</v>
      </c>
      <c r="E960" s="255"/>
      <c r="F960" s="255"/>
      <c r="G960" s="255"/>
      <c r="H960" s="255"/>
      <c r="I960" s="255"/>
      <c r="J960" s="255"/>
      <c r="K960" s="255"/>
      <c r="L960" s="264">
        <v>8379</v>
      </c>
      <c r="M960" s="264">
        <v>8515</v>
      </c>
      <c r="N960" s="189">
        <v>12000</v>
      </c>
      <c r="O960" s="189">
        <v>12000</v>
      </c>
      <c r="P960" s="188">
        <v>12000</v>
      </c>
      <c r="Q960" s="188">
        <v>12000</v>
      </c>
      <c r="R960" s="188">
        <v>12000</v>
      </c>
      <c r="S960" s="188">
        <v>12000</v>
      </c>
      <c r="T960" s="188">
        <v>12000</v>
      </c>
    </row>
    <row r="961" spans="1:22" ht="24" customHeight="1">
      <c r="A961" s="320" t="s">
        <v>558</v>
      </c>
      <c r="B961" s="255"/>
      <c r="C961" s="255"/>
      <c r="D961" s="320" t="s">
        <v>10</v>
      </c>
      <c r="E961" s="255"/>
      <c r="F961" s="255"/>
      <c r="G961" s="255"/>
      <c r="H961" s="255"/>
      <c r="I961" s="255"/>
      <c r="J961" s="255"/>
      <c r="K961" s="255"/>
      <c r="L961" s="264">
        <v>38778</v>
      </c>
      <c r="M961" s="264">
        <v>35891</v>
      </c>
      <c r="N961" s="189">
        <v>29000</v>
      </c>
      <c r="O961" s="189">
        <v>29000</v>
      </c>
      <c r="P961" s="188">
        <v>29000</v>
      </c>
      <c r="Q961" s="188">
        <v>29000</v>
      </c>
      <c r="R961" s="188">
        <v>29000</v>
      </c>
      <c r="S961" s="188">
        <v>29000</v>
      </c>
      <c r="T961" s="188">
        <v>29000</v>
      </c>
    </row>
    <row r="962" spans="1:22" ht="24" customHeight="1">
      <c r="A962" s="320" t="s">
        <v>559</v>
      </c>
      <c r="B962" s="255"/>
      <c r="C962" s="255"/>
      <c r="D962" s="320" t="s">
        <v>136</v>
      </c>
      <c r="E962" s="255"/>
      <c r="F962" s="255"/>
      <c r="G962" s="321"/>
      <c r="H962" s="321"/>
      <c r="I962" s="321"/>
      <c r="J962" s="321"/>
      <c r="K962" s="321"/>
      <c r="L962" s="264">
        <v>360</v>
      </c>
      <c r="M962" s="264">
        <v>0</v>
      </c>
      <c r="N962" s="189">
        <v>2000</v>
      </c>
      <c r="O962" s="189">
        <v>2000</v>
      </c>
      <c r="P962" s="188">
        <v>2000</v>
      </c>
      <c r="Q962" s="188">
        <v>2000</v>
      </c>
      <c r="R962" s="188">
        <v>2000</v>
      </c>
      <c r="S962" s="188">
        <v>2000</v>
      </c>
      <c r="T962" s="188">
        <v>2000</v>
      </c>
    </row>
    <row r="963" spans="1:22" ht="24" customHeight="1">
      <c r="A963" s="320" t="s">
        <v>560</v>
      </c>
      <c r="B963" s="255"/>
      <c r="C963" s="255"/>
      <c r="D963" s="320" t="s">
        <v>561</v>
      </c>
      <c r="E963" s="255"/>
      <c r="F963" s="255"/>
      <c r="G963" s="341"/>
      <c r="H963" s="341"/>
      <c r="I963" s="341"/>
      <c r="J963" s="341"/>
      <c r="K963" s="341"/>
      <c r="L963" s="264">
        <v>30199</v>
      </c>
      <c r="M963" s="264">
        <v>14283</v>
      </c>
      <c r="N963" s="189">
        <v>35000</v>
      </c>
      <c r="O963" s="189">
        <v>35000</v>
      </c>
      <c r="P963" s="188">
        <v>35000</v>
      </c>
      <c r="Q963" s="188">
        <v>35000</v>
      </c>
      <c r="R963" s="188">
        <v>35000</v>
      </c>
      <c r="S963" s="188">
        <v>35000</v>
      </c>
      <c r="T963" s="188">
        <v>35000</v>
      </c>
    </row>
    <row r="964" spans="1:22" ht="24" customHeight="1">
      <c r="A964" s="320" t="s">
        <v>562</v>
      </c>
      <c r="B964" s="321"/>
      <c r="C964" s="321"/>
      <c r="D964" s="320" t="s">
        <v>17</v>
      </c>
      <c r="E964" s="321"/>
      <c r="F964" s="321"/>
      <c r="G964" s="321"/>
      <c r="H964" s="321"/>
      <c r="I964" s="321"/>
      <c r="J964" s="321"/>
      <c r="K964" s="321"/>
      <c r="L964" s="265">
        <v>10508</v>
      </c>
      <c r="M964" s="265">
        <v>17260</v>
      </c>
      <c r="N964" s="186">
        <v>14490</v>
      </c>
      <c r="O964" s="186">
        <v>14490</v>
      </c>
      <c r="P964" s="188">
        <f>ROUND(O964*1.06,0)</f>
        <v>15359</v>
      </c>
      <c r="Q964" s="188">
        <f t="shared" ref="Q964:T964" si="256">ROUND(P964*1.06,0)</f>
        <v>16281</v>
      </c>
      <c r="R964" s="188">
        <f t="shared" si="256"/>
        <v>17258</v>
      </c>
      <c r="S964" s="188">
        <f t="shared" si="256"/>
        <v>18293</v>
      </c>
      <c r="T964" s="188">
        <f t="shared" si="256"/>
        <v>19391</v>
      </c>
      <c r="V964" s="190"/>
    </row>
    <row r="965" spans="1:22" ht="24" customHeight="1">
      <c r="A965" s="320" t="s">
        <v>1467</v>
      </c>
      <c r="B965" s="323"/>
      <c r="C965" s="323"/>
      <c r="D965" s="320" t="s">
        <v>1461</v>
      </c>
      <c r="E965" s="323"/>
      <c r="F965" s="323"/>
      <c r="G965" s="323"/>
      <c r="H965" s="323"/>
      <c r="I965" s="323"/>
      <c r="J965" s="323"/>
      <c r="K965" s="323"/>
      <c r="L965" s="265">
        <v>0</v>
      </c>
      <c r="M965" s="265">
        <v>0</v>
      </c>
      <c r="N965" s="195">
        <v>0</v>
      </c>
      <c r="O965" s="195">
        <f>9300-162</f>
        <v>9138</v>
      </c>
      <c r="P965" s="192">
        <v>0</v>
      </c>
      <c r="Q965" s="192">
        <v>0</v>
      </c>
      <c r="R965" s="192">
        <v>0</v>
      </c>
      <c r="S965" s="192">
        <v>0</v>
      </c>
      <c r="T965" s="192">
        <v>0</v>
      </c>
      <c r="V965" s="190"/>
    </row>
    <row r="966" spans="1:22" ht="24" customHeight="1">
      <c r="A966" s="320" t="s">
        <v>563</v>
      </c>
      <c r="B966" s="321"/>
      <c r="C966" s="321"/>
      <c r="D966" s="320" t="s">
        <v>1170</v>
      </c>
      <c r="E966" s="321"/>
      <c r="F966" s="321"/>
      <c r="G966" s="321"/>
      <c r="H966" s="321"/>
      <c r="I966" s="321"/>
      <c r="J966" s="321"/>
      <c r="K966" s="321"/>
      <c r="L966" s="281">
        <v>3632</v>
      </c>
      <c r="M966" s="281">
        <v>4959</v>
      </c>
      <c r="N966" s="225">
        <v>5000</v>
      </c>
      <c r="O966" s="225">
        <f>5000+22323-13988</f>
        <v>13335</v>
      </c>
      <c r="P966" s="217">
        <v>20000</v>
      </c>
      <c r="Q966" s="217">
        <v>5000</v>
      </c>
      <c r="R966" s="217">
        <v>5000</v>
      </c>
      <c r="S966" s="217">
        <v>5000</v>
      </c>
      <c r="T966" s="217">
        <v>5000</v>
      </c>
    </row>
    <row r="967" spans="1:22" ht="24" customHeight="1">
      <c r="A967" s="320" t="s">
        <v>781</v>
      </c>
      <c r="B967" s="321"/>
      <c r="C967" s="321"/>
      <c r="D967" s="320" t="s">
        <v>331</v>
      </c>
      <c r="E967" s="321"/>
      <c r="F967" s="321"/>
      <c r="G967" s="321"/>
      <c r="H967" s="321"/>
      <c r="I967" s="321"/>
      <c r="J967" s="321"/>
      <c r="K967" s="321"/>
      <c r="L967" s="281">
        <v>749</v>
      </c>
      <c r="M967" s="281">
        <v>562</v>
      </c>
      <c r="N967" s="225">
        <v>2275</v>
      </c>
      <c r="O967" s="225">
        <v>2275</v>
      </c>
      <c r="P967" s="217">
        <v>2190</v>
      </c>
      <c r="Q967" s="217">
        <v>2190</v>
      </c>
      <c r="R967" s="217">
        <v>2190</v>
      </c>
      <c r="S967" s="217">
        <v>2190</v>
      </c>
      <c r="T967" s="217">
        <v>2190</v>
      </c>
    </row>
    <row r="968" spans="1:22" ht="24" customHeight="1">
      <c r="A968" s="320" t="s">
        <v>564</v>
      </c>
      <c r="B968" s="321"/>
      <c r="C968" s="321"/>
      <c r="D968" s="320" t="s">
        <v>11</v>
      </c>
      <c r="E968" s="321"/>
      <c r="F968" s="321"/>
      <c r="G968" s="321"/>
      <c r="H968" s="321"/>
      <c r="I968" s="321"/>
      <c r="J968" s="321"/>
      <c r="K968" s="321"/>
      <c r="L968" s="265">
        <v>5497</v>
      </c>
      <c r="M968" s="265">
        <v>5807</v>
      </c>
      <c r="N968" s="186">
        <v>8000</v>
      </c>
      <c r="O968" s="186">
        <v>8000</v>
      </c>
      <c r="P968" s="185">
        <v>8000</v>
      </c>
      <c r="Q968" s="185">
        <v>8000</v>
      </c>
      <c r="R968" s="185">
        <v>8000</v>
      </c>
      <c r="S968" s="185">
        <v>8000</v>
      </c>
      <c r="T968" s="185">
        <v>8000</v>
      </c>
    </row>
    <row r="969" spans="1:22" ht="24" customHeight="1">
      <c r="A969" s="320" t="s">
        <v>565</v>
      </c>
      <c r="B969" s="321"/>
      <c r="C969" s="321"/>
      <c r="D969" s="320" t="s">
        <v>12</v>
      </c>
      <c r="E969" s="321"/>
      <c r="F969" s="321"/>
      <c r="G969" s="321"/>
      <c r="H969" s="321"/>
      <c r="I969" s="321"/>
      <c r="J969" s="321"/>
      <c r="K969" s="321"/>
      <c r="L969" s="264">
        <v>7738</v>
      </c>
      <c r="M969" s="264">
        <v>6772</v>
      </c>
      <c r="N969" s="189">
        <v>8000</v>
      </c>
      <c r="O969" s="189">
        <v>8000</v>
      </c>
      <c r="P969" s="188">
        <v>8000</v>
      </c>
      <c r="Q969" s="188">
        <v>8000</v>
      </c>
      <c r="R969" s="188">
        <v>8000</v>
      </c>
      <c r="S969" s="188">
        <v>8000</v>
      </c>
      <c r="T969" s="188">
        <v>8000</v>
      </c>
      <c r="V969" s="190"/>
    </row>
    <row r="970" spans="1:22" ht="24" customHeight="1">
      <c r="A970" s="320" t="s">
        <v>566</v>
      </c>
      <c r="B970" s="321"/>
      <c r="C970" s="321"/>
      <c r="D970" s="320" t="s">
        <v>249</v>
      </c>
      <c r="E970" s="321"/>
      <c r="F970" s="321"/>
      <c r="G970" s="321"/>
      <c r="H970" s="321"/>
      <c r="I970" s="321"/>
      <c r="J970" s="321"/>
      <c r="K970" s="321"/>
      <c r="L970" s="265">
        <v>1550</v>
      </c>
      <c r="M970" s="265">
        <v>0</v>
      </c>
      <c r="N970" s="186">
        <v>0</v>
      </c>
      <c r="O970" s="186">
        <v>0</v>
      </c>
      <c r="P970" s="185">
        <v>0</v>
      </c>
      <c r="Q970" s="185">
        <v>0</v>
      </c>
      <c r="R970" s="185">
        <v>0</v>
      </c>
      <c r="S970" s="185">
        <v>0</v>
      </c>
      <c r="T970" s="185">
        <v>0</v>
      </c>
      <c r="V970" s="187"/>
    </row>
    <row r="971" spans="1:22" ht="24" customHeight="1">
      <c r="A971" s="320" t="s">
        <v>567</v>
      </c>
      <c r="B971" s="321"/>
      <c r="C971" s="321"/>
      <c r="D971" s="320" t="s">
        <v>1169</v>
      </c>
      <c r="E971" s="321"/>
      <c r="F971" s="321"/>
      <c r="G971" s="321"/>
      <c r="H971" s="321"/>
      <c r="I971" s="321"/>
      <c r="J971" s="321"/>
      <c r="K971" s="321"/>
      <c r="L971" s="262">
        <v>881</v>
      </c>
      <c r="M971" s="262">
        <v>0</v>
      </c>
      <c r="N971" s="186">
        <v>0</v>
      </c>
      <c r="O971" s="186">
        <v>0</v>
      </c>
      <c r="P971" s="185">
        <v>0</v>
      </c>
      <c r="Q971" s="185">
        <v>0</v>
      </c>
      <c r="R971" s="185">
        <v>0</v>
      </c>
      <c r="S971" s="185">
        <v>0</v>
      </c>
      <c r="T971" s="185">
        <v>0</v>
      </c>
    </row>
    <row r="972" spans="1:22" ht="24" customHeight="1">
      <c r="A972" s="320" t="s">
        <v>568</v>
      </c>
      <c r="B972" s="321"/>
      <c r="C972" s="321"/>
      <c r="D972" s="320" t="s">
        <v>569</v>
      </c>
      <c r="E972" s="321"/>
      <c r="F972" s="321"/>
      <c r="G972" s="321"/>
      <c r="H972" s="321"/>
      <c r="I972" s="321"/>
      <c r="J972" s="321"/>
      <c r="K972" s="321"/>
      <c r="L972" s="266">
        <v>875</v>
      </c>
      <c r="M972" s="266">
        <v>731</v>
      </c>
      <c r="N972" s="194">
        <f t="shared" ref="N972:O972" si="257">N933</f>
        <v>1000</v>
      </c>
      <c r="O972" s="194">
        <f t="shared" si="257"/>
        <v>1000</v>
      </c>
      <c r="P972" s="193">
        <f t="shared" ref="P972:R972" si="258">P933</f>
        <v>1000</v>
      </c>
      <c r="Q972" s="193">
        <f t="shared" si="258"/>
        <v>1000</v>
      </c>
      <c r="R972" s="193">
        <f t="shared" si="258"/>
        <v>1000</v>
      </c>
      <c r="S972" s="193">
        <f t="shared" ref="S972:T972" si="259">S933</f>
        <v>1000</v>
      </c>
      <c r="T972" s="193">
        <f t="shared" si="259"/>
        <v>1000</v>
      </c>
      <c r="V972" s="187"/>
    </row>
    <row r="973" spans="1:22" ht="24" customHeight="1">
      <c r="A973" s="320" t="s">
        <v>570</v>
      </c>
      <c r="B973" s="255"/>
      <c r="C973" s="255"/>
      <c r="D973" s="320" t="s">
        <v>571</v>
      </c>
      <c r="E973" s="630"/>
      <c r="F973" s="630"/>
      <c r="G973" s="630"/>
      <c r="H973" s="630"/>
      <c r="I973" s="630"/>
      <c r="J973" s="630"/>
      <c r="K973" s="630"/>
      <c r="L973" s="265">
        <v>0</v>
      </c>
      <c r="M973" s="265">
        <v>0</v>
      </c>
      <c r="N973" s="186">
        <v>0</v>
      </c>
      <c r="O973" s="186">
        <v>0</v>
      </c>
      <c r="P973" s="185">
        <v>0</v>
      </c>
      <c r="Q973" s="185">
        <v>0</v>
      </c>
      <c r="R973" s="185">
        <v>0</v>
      </c>
      <c r="S973" s="185">
        <v>0</v>
      </c>
      <c r="T973" s="185">
        <v>0</v>
      </c>
    </row>
    <row r="974" spans="1:22" ht="24" customHeight="1">
      <c r="A974" s="320" t="s">
        <v>572</v>
      </c>
      <c r="B974" s="255"/>
      <c r="C974" s="255"/>
      <c r="D974" s="320" t="s">
        <v>573</v>
      </c>
      <c r="E974" s="255"/>
      <c r="F974" s="255"/>
      <c r="G974" s="255"/>
      <c r="H974" s="255"/>
      <c r="I974" s="255"/>
      <c r="J974" s="255"/>
      <c r="K974" s="255"/>
      <c r="L974" s="266">
        <v>0</v>
      </c>
      <c r="M974" s="266">
        <v>0</v>
      </c>
      <c r="N974" s="194">
        <v>0</v>
      </c>
      <c r="O974" s="194">
        <v>0</v>
      </c>
      <c r="P974" s="193">
        <v>0</v>
      </c>
      <c r="Q974" s="193">
        <v>0</v>
      </c>
      <c r="R974" s="193">
        <v>0</v>
      </c>
      <c r="S974" s="193">
        <v>0</v>
      </c>
      <c r="T974" s="193">
        <v>0</v>
      </c>
    </row>
    <row r="975" spans="1:22" ht="24" customHeight="1">
      <c r="A975" s="320" t="s">
        <v>574</v>
      </c>
      <c r="B975" s="255"/>
      <c r="C975" s="255"/>
      <c r="D975" s="320" t="s">
        <v>575</v>
      </c>
      <c r="E975" s="255"/>
      <c r="F975" s="255"/>
      <c r="G975" s="255"/>
      <c r="H975" s="255"/>
      <c r="I975" s="255"/>
      <c r="J975" s="255"/>
      <c r="K975" s="255"/>
      <c r="L975" s="266">
        <v>0</v>
      </c>
      <c r="M975" s="266">
        <v>0</v>
      </c>
      <c r="N975" s="194">
        <v>0</v>
      </c>
      <c r="O975" s="194">
        <v>0</v>
      </c>
      <c r="P975" s="193">
        <v>0</v>
      </c>
      <c r="Q975" s="193">
        <v>0</v>
      </c>
      <c r="R975" s="193">
        <v>0</v>
      </c>
      <c r="S975" s="193">
        <v>0</v>
      </c>
      <c r="T975" s="193">
        <v>0</v>
      </c>
    </row>
    <row r="976" spans="1:22" ht="24" customHeight="1">
      <c r="A976" s="320" t="s">
        <v>576</v>
      </c>
      <c r="B976" s="255"/>
      <c r="C976" s="255"/>
      <c r="D976" s="320" t="s">
        <v>577</v>
      </c>
      <c r="E976" s="255"/>
      <c r="F976" s="255"/>
      <c r="G976" s="255"/>
      <c r="H976" s="255"/>
      <c r="I976" s="255"/>
      <c r="J976" s="255"/>
      <c r="K976" s="255"/>
      <c r="L976" s="262">
        <v>0</v>
      </c>
      <c r="M976" s="262">
        <v>0</v>
      </c>
      <c r="N976" s="186">
        <v>0</v>
      </c>
      <c r="O976" s="186">
        <v>0</v>
      </c>
      <c r="P976" s="185">
        <v>0</v>
      </c>
      <c r="Q976" s="185">
        <v>0</v>
      </c>
      <c r="R976" s="185">
        <v>0</v>
      </c>
      <c r="S976" s="185">
        <v>0</v>
      </c>
      <c r="T976" s="185">
        <v>0</v>
      </c>
    </row>
    <row r="977" spans="1:27" ht="24" customHeight="1">
      <c r="A977" s="320" t="s">
        <v>578</v>
      </c>
      <c r="B977" s="255"/>
      <c r="C977" s="255"/>
      <c r="D977" s="320" t="s">
        <v>579</v>
      </c>
      <c r="E977" s="255"/>
      <c r="F977" s="255"/>
      <c r="G977" s="255"/>
      <c r="H977" s="255"/>
      <c r="I977" s="255"/>
      <c r="J977" s="255"/>
      <c r="K977" s="255"/>
      <c r="L977" s="266">
        <v>0</v>
      </c>
      <c r="M977" s="266">
        <v>0</v>
      </c>
      <c r="N977" s="194">
        <v>0</v>
      </c>
      <c r="O977" s="194">
        <v>0</v>
      </c>
      <c r="P977" s="193">
        <v>0</v>
      </c>
      <c r="Q977" s="193">
        <v>0</v>
      </c>
      <c r="R977" s="193">
        <v>0</v>
      </c>
      <c r="S977" s="193">
        <v>0</v>
      </c>
      <c r="T977" s="193">
        <v>0</v>
      </c>
    </row>
    <row r="978" spans="1:27" ht="24" customHeight="1">
      <c r="A978" s="320" t="s">
        <v>580</v>
      </c>
      <c r="B978" s="255"/>
      <c r="C978" s="255"/>
      <c r="D978" s="320" t="s">
        <v>1176</v>
      </c>
      <c r="E978" s="255"/>
      <c r="F978" s="255"/>
      <c r="G978" s="255"/>
      <c r="H978" s="255"/>
      <c r="I978" s="255"/>
      <c r="J978" s="255"/>
      <c r="K978" s="255"/>
      <c r="L978" s="266">
        <v>0</v>
      </c>
      <c r="M978" s="266">
        <v>0</v>
      </c>
      <c r="N978" s="194">
        <v>0</v>
      </c>
      <c r="O978" s="194">
        <v>0</v>
      </c>
      <c r="P978" s="193">
        <v>0</v>
      </c>
      <c r="Q978" s="193">
        <v>0</v>
      </c>
      <c r="R978" s="193">
        <v>0</v>
      </c>
      <c r="S978" s="193">
        <v>0</v>
      </c>
      <c r="T978" s="193">
        <v>0</v>
      </c>
    </row>
    <row r="979" spans="1:27" ht="24" customHeight="1">
      <c r="A979" s="320" t="s">
        <v>581</v>
      </c>
      <c r="B979" s="255"/>
      <c r="C979" s="255"/>
      <c r="D979" s="320" t="s">
        <v>582</v>
      </c>
      <c r="E979" s="255"/>
      <c r="F979" s="255"/>
      <c r="G979" s="255"/>
      <c r="H979" s="255"/>
      <c r="I979" s="255"/>
      <c r="J979" s="255"/>
      <c r="K979" s="255"/>
      <c r="L979" s="266">
        <v>2421</v>
      </c>
      <c r="M979" s="266">
        <v>2575</v>
      </c>
      <c r="N979" s="194">
        <v>2000</v>
      </c>
      <c r="O979" s="194">
        <v>2000</v>
      </c>
      <c r="P979" s="193">
        <v>2000</v>
      </c>
      <c r="Q979" s="193">
        <v>2000</v>
      </c>
      <c r="R979" s="193">
        <v>2000</v>
      </c>
      <c r="S979" s="193">
        <v>2000</v>
      </c>
      <c r="T979" s="193">
        <v>2000</v>
      </c>
    </row>
    <row r="980" spans="1:27" ht="24" customHeight="1">
      <c r="A980" s="320" t="s">
        <v>583</v>
      </c>
      <c r="B980" s="255"/>
      <c r="C980" s="255"/>
      <c r="D980" s="320" t="s">
        <v>1177</v>
      </c>
      <c r="E980" s="255"/>
      <c r="F980" s="255"/>
      <c r="G980" s="255"/>
      <c r="H980" s="255"/>
      <c r="I980" s="255"/>
      <c r="J980" s="255"/>
      <c r="K980" s="255"/>
      <c r="L980" s="266">
        <v>5201</v>
      </c>
      <c r="M980" s="266">
        <v>0</v>
      </c>
      <c r="N980" s="194">
        <f t="shared" ref="N980:R980" si="260">N939</f>
        <v>0</v>
      </c>
      <c r="O980" s="194">
        <f t="shared" ref="O980" si="261">O939</f>
        <v>0</v>
      </c>
      <c r="P980" s="193">
        <f t="shared" si="260"/>
        <v>0</v>
      </c>
      <c r="Q980" s="193">
        <f t="shared" si="260"/>
        <v>0</v>
      </c>
      <c r="R980" s="193">
        <f t="shared" si="260"/>
        <v>0</v>
      </c>
      <c r="S980" s="193">
        <f t="shared" ref="S980:T980" si="262">S939</f>
        <v>0</v>
      </c>
      <c r="T980" s="193">
        <f t="shared" si="262"/>
        <v>0</v>
      </c>
      <c r="V980" s="187"/>
    </row>
    <row r="981" spans="1:27" ht="24" customHeight="1">
      <c r="A981" s="320" t="s">
        <v>782</v>
      </c>
      <c r="B981" s="321"/>
      <c r="C981" s="321"/>
      <c r="D981" s="320" t="s">
        <v>783</v>
      </c>
      <c r="E981" s="482"/>
      <c r="F981" s="482"/>
      <c r="G981" s="482"/>
      <c r="H981" s="482"/>
      <c r="I981" s="482"/>
      <c r="J981" s="482"/>
      <c r="K981" s="482"/>
      <c r="L981" s="303">
        <v>5469</v>
      </c>
      <c r="M981" s="303">
        <v>21185</v>
      </c>
      <c r="N981" s="245">
        <f t="shared" ref="N981:O981" si="263">N994</f>
        <v>0</v>
      </c>
      <c r="O981" s="245">
        <f t="shared" si="263"/>
        <v>3558</v>
      </c>
      <c r="P981" s="244">
        <f t="shared" ref="P981:S981" si="264">P994</f>
        <v>0</v>
      </c>
      <c r="Q981" s="244">
        <f t="shared" si="264"/>
        <v>0</v>
      </c>
      <c r="R981" s="244">
        <f t="shared" si="264"/>
        <v>0</v>
      </c>
      <c r="S981" s="244">
        <f t="shared" si="264"/>
        <v>0</v>
      </c>
      <c r="T981" s="244">
        <f t="shared" ref="T981" si="265">T994</f>
        <v>0</v>
      </c>
      <c r="V981" s="187"/>
    </row>
    <row r="982" spans="1:27" ht="15" customHeight="1">
      <c r="A982" s="255"/>
      <c r="B982" s="255"/>
      <c r="C982" s="255"/>
      <c r="D982" s="255"/>
      <c r="E982" s="255"/>
      <c r="F982" s="255"/>
      <c r="G982" s="255"/>
      <c r="H982" s="255"/>
      <c r="I982" s="255"/>
      <c r="J982" s="255"/>
      <c r="K982" s="255"/>
      <c r="L982" s="271"/>
      <c r="M982" s="271"/>
      <c r="N982" s="204"/>
      <c r="O982" s="204"/>
      <c r="P982" s="203"/>
      <c r="Q982" s="203"/>
      <c r="R982" s="203"/>
      <c r="S982" s="203"/>
      <c r="T982" s="203"/>
    </row>
    <row r="983" spans="1:27" s="255" customFormat="1" ht="24" customHeight="1">
      <c r="K983" s="324" t="s">
        <v>598</v>
      </c>
      <c r="L983" s="273">
        <f t="shared" ref="L983:T983" si="266">SUM(L945:L982)</f>
        <v>732279</v>
      </c>
      <c r="M983" s="273">
        <f t="shared" si="266"/>
        <v>716452</v>
      </c>
      <c r="N983" s="274">
        <f t="shared" si="266"/>
        <v>783453</v>
      </c>
      <c r="O983" s="274">
        <f t="shared" si="266"/>
        <v>798159</v>
      </c>
      <c r="P983" s="273">
        <f t="shared" si="266"/>
        <v>716122</v>
      </c>
      <c r="Q983" s="273">
        <f t="shared" si="266"/>
        <v>712306</v>
      </c>
      <c r="R983" s="273">
        <f t="shared" si="266"/>
        <v>723853</v>
      </c>
      <c r="S983" s="273">
        <f t="shared" si="266"/>
        <v>736239</v>
      </c>
      <c r="T983" s="273">
        <f t="shared" si="266"/>
        <v>749520</v>
      </c>
      <c r="U983" s="542"/>
    </row>
    <row r="984" spans="1:27" s="255" customFormat="1" ht="15" customHeight="1">
      <c r="L984" s="271"/>
      <c r="M984" s="271"/>
      <c r="N984" s="272"/>
      <c r="O984" s="272"/>
      <c r="P984" s="271"/>
      <c r="Q984" s="271"/>
      <c r="R984" s="271"/>
      <c r="S984" s="271"/>
      <c r="T984" s="271"/>
      <c r="U984" s="542"/>
    </row>
    <row r="985" spans="1:27" s="255" customFormat="1" ht="24" customHeight="1">
      <c r="K985" s="324" t="s">
        <v>599</v>
      </c>
      <c r="L985" s="273">
        <f t="shared" ref="L985:T985" si="267">L943-L983</f>
        <v>57305</v>
      </c>
      <c r="M985" s="273">
        <f t="shared" si="267"/>
        <v>24940</v>
      </c>
      <c r="N985" s="274">
        <f t="shared" si="267"/>
        <v>-50768</v>
      </c>
      <c r="O985" s="274">
        <f t="shared" si="267"/>
        <v>-83383</v>
      </c>
      <c r="P985" s="273">
        <f t="shared" si="267"/>
        <v>5296</v>
      </c>
      <c r="Q985" s="273">
        <f t="shared" si="267"/>
        <v>9412</v>
      </c>
      <c r="R985" s="273">
        <f t="shared" si="267"/>
        <v>4879</v>
      </c>
      <c r="S985" s="273">
        <f t="shared" si="267"/>
        <v>-5372</v>
      </c>
      <c r="T985" s="273">
        <f t="shared" si="267"/>
        <v>-11390</v>
      </c>
      <c r="U985" s="542"/>
    </row>
    <row r="986" spans="1:27" s="255" customFormat="1" ht="15" customHeight="1">
      <c r="L986" s="271"/>
      <c r="M986" s="271"/>
      <c r="N986" s="272"/>
      <c r="O986" s="272"/>
      <c r="P986" s="271"/>
      <c r="Q986" s="271"/>
      <c r="R986" s="271"/>
      <c r="S986" s="271"/>
      <c r="T986" s="271"/>
      <c r="U986" s="542"/>
    </row>
    <row r="987" spans="1:27" s="255" customFormat="1" ht="24" customHeight="1">
      <c r="K987" s="329" t="s">
        <v>601</v>
      </c>
      <c r="L987" s="290">
        <v>446136</v>
      </c>
      <c r="M987" s="290">
        <v>471076</v>
      </c>
      <c r="N987" s="291">
        <v>354783</v>
      </c>
      <c r="O987" s="291">
        <f>M987+O985</f>
        <v>387693</v>
      </c>
      <c r="P987" s="290">
        <f>O987+P985</f>
        <v>392989</v>
      </c>
      <c r="Q987" s="290">
        <f>P987+Q985</f>
        <v>402401</v>
      </c>
      <c r="R987" s="290">
        <f>Q987+R985</f>
        <v>407280</v>
      </c>
      <c r="S987" s="290">
        <f>R987+S985</f>
        <v>401908</v>
      </c>
      <c r="T987" s="290">
        <f>S987+T985</f>
        <v>390518</v>
      </c>
      <c r="U987" s="542"/>
    </row>
    <row r="988" spans="1:27" s="333" customFormat="1" ht="24" customHeight="1">
      <c r="L988" s="292">
        <f t="shared" ref="L988" si="268">L987/L983</f>
        <v>0.60924319828917661</v>
      </c>
      <c r="M988" s="292">
        <f t="shared" ref="M988:T988" si="269">M987/M983</f>
        <v>0.65751229670654843</v>
      </c>
      <c r="N988" s="293">
        <f t="shared" ref="N988:O988" si="270">N987/N983</f>
        <v>0.45284528874099661</v>
      </c>
      <c r="O988" s="293">
        <f t="shared" si="270"/>
        <v>0.48573404547214277</v>
      </c>
      <c r="P988" s="292">
        <f t="shared" si="269"/>
        <v>0.54877381228338185</v>
      </c>
      <c r="Q988" s="292">
        <f t="shared" si="269"/>
        <v>0.56492715209474575</v>
      </c>
      <c r="R988" s="292">
        <f t="shared" si="269"/>
        <v>0.56265567732675004</v>
      </c>
      <c r="S988" s="292">
        <f t="shared" ref="S988" si="271">S987/S983</f>
        <v>0.54589338516432839</v>
      </c>
      <c r="T988" s="292">
        <f t="shared" si="269"/>
        <v>0.52102412210481375</v>
      </c>
      <c r="U988" s="399"/>
    </row>
    <row r="989" spans="1:27" ht="15" customHeight="1">
      <c r="A989" s="255"/>
      <c r="B989" s="255"/>
      <c r="C989" s="255"/>
      <c r="D989" s="255"/>
      <c r="E989" s="255"/>
      <c r="F989" s="255"/>
      <c r="G989" s="255"/>
      <c r="H989" s="255"/>
      <c r="I989" s="255"/>
      <c r="J989" s="255"/>
      <c r="K989" s="255"/>
      <c r="L989" s="468"/>
      <c r="M989" s="468"/>
      <c r="N989" s="472"/>
      <c r="O989" s="472"/>
      <c r="P989" s="473"/>
      <c r="Q989" s="473"/>
      <c r="R989" s="473"/>
      <c r="S989" s="473"/>
      <c r="T989" s="473"/>
    </row>
    <row r="990" spans="1:27" ht="24" customHeight="1">
      <c r="A990" s="331" t="s">
        <v>586</v>
      </c>
      <c r="B990" s="255"/>
      <c r="C990" s="255"/>
      <c r="D990" s="255"/>
      <c r="E990" s="255"/>
      <c r="F990" s="255"/>
      <c r="G990" s="255"/>
      <c r="H990" s="255"/>
      <c r="I990" s="255"/>
      <c r="J990" s="255"/>
      <c r="K990" s="255"/>
      <c r="L990" s="468"/>
      <c r="M990" s="468"/>
      <c r="N990" s="472"/>
      <c r="O990" s="472"/>
      <c r="P990" s="473"/>
      <c r="Q990" s="473"/>
      <c r="R990" s="473"/>
      <c r="S990" s="473"/>
      <c r="T990" s="473"/>
      <c r="V990" s="487"/>
      <c r="W990" s="488"/>
      <c r="X990" s="488"/>
    </row>
    <row r="991" spans="1:27" ht="24" customHeight="1">
      <c r="A991" s="255"/>
      <c r="B991" s="255"/>
      <c r="C991" s="255"/>
      <c r="D991" s="255"/>
      <c r="E991" s="255"/>
      <c r="F991" s="255"/>
      <c r="G991" s="255"/>
      <c r="H991" s="255"/>
      <c r="I991" s="255"/>
      <c r="J991" s="255"/>
      <c r="K991" s="255"/>
      <c r="L991" s="468"/>
      <c r="M991" s="468"/>
      <c r="N991" s="472"/>
      <c r="O991" s="472"/>
      <c r="P991" s="473"/>
      <c r="Q991" s="473"/>
      <c r="R991" s="473"/>
      <c r="S991" s="473"/>
      <c r="T991" s="473"/>
    </row>
    <row r="992" spans="1:27" ht="24" customHeight="1">
      <c r="A992" s="430" t="s">
        <v>1220</v>
      </c>
      <c r="B992" s="255"/>
      <c r="C992" s="255"/>
      <c r="D992" s="430" t="s">
        <v>1221</v>
      </c>
      <c r="E992" s="390"/>
      <c r="F992" s="390"/>
      <c r="G992" s="390"/>
      <c r="H992" s="390"/>
      <c r="I992" s="390"/>
      <c r="J992" s="390"/>
      <c r="K992" s="390"/>
      <c r="L992" s="265">
        <v>791640</v>
      </c>
      <c r="M992" s="265">
        <v>746464</v>
      </c>
      <c r="N992" s="195">
        <v>731321</v>
      </c>
      <c r="O992" s="186">
        <v>727762</v>
      </c>
      <c r="P992" s="192">
        <f>P999+P1000+P1002+P1003+P1005+P1006</f>
        <v>749846</v>
      </c>
      <c r="Q992" s="192">
        <f t="shared" ref="Q992:T992" si="272">Q999+Q1000+Q1002+Q1003+Q1005+Q1006</f>
        <v>752771</v>
      </c>
      <c r="R992" s="192">
        <f t="shared" si="272"/>
        <v>760396</v>
      </c>
      <c r="S992" s="192">
        <f t="shared" si="272"/>
        <v>792101</v>
      </c>
      <c r="T992" s="192">
        <f t="shared" si="272"/>
        <v>797013</v>
      </c>
      <c r="U992" s="401"/>
      <c r="V992" s="192"/>
      <c r="W992" s="192"/>
      <c r="X992" s="192"/>
      <c r="Y992" s="192"/>
      <c r="Z992" s="192"/>
      <c r="AA992" s="192"/>
    </row>
    <row r="993" spans="1:29" ht="24" customHeight="1">
      <c r="A993" s="255" t="s">
        <v>749</v>
      </c>
      <c r="B993" s="255"/>
      <c r="C993" s="255"/>
      <c r="D993" s="255" t="s">
        <v>6</v>
      </c>
      <c r="E993" s="255"/>
      <c r="F993" s="255"/>
      <c r="G993" s="255"/>
      <c r="H993" s="255"/>
      <c r="I993" s="255"/>
      <c r="J993" s="255"/>
      <c r="K993" s="255"/>
      <c r="L993" s="265">
        <v>200</v>
      </c>
      <c r="M993" s="265">
        <v>71</v>
      </c>
      <c r="N993" s="195">
        <v>30</v>
      </c>
      <c r="O993" s="195">
        <v>1</v>
      </c>
      <c r="P993" s="192">
        <v>30</v>
      </c>
      <c r="Q993" s="192">
        <v>0</v>
      </c>
      <c r="R993" s="192">
        <v>0</v>
      </c>
      <c r="S993" s="192">
        <v>0</v>
      </c>
      <c r="T993" s="192">
        <v>0</v>
      </c>
      <c r="U993" s="401"/>
    </row>
    <row r="994" spans="1:29" ht="24" customHeight="1">
      <c r="A994" s="255" t="s">
        <v>784</v>
      </c>
      <c r="B994" s="255"/>
      <c r="C994" s="255"/>
      <c r="D994" s="483" t="s">
        <v>674</v>
      </c>
      <c r="E994" s="483"/>
      <c r="F994" s="483"/>
      <c r="G994" s="483"/>
      <c r="H994" s="483"/>
      <c r="I994" s="483"/>
      <c r="J994" s="483"/>
      <c r="K994" s="483"/>
      <c r="L994" s="270">
        <v>5469</v>
      </c>
      <c r="M994" s="270">
        <v>21185</v>
      </c>
      <c r="N994" s="202">
        <v>0</v>
      </c>
      <c r="O994" s="202">
        <f>3600-71+29</f>
        <v>3558</v>
      </c>
      <c r="P994" s="201">
        <v>0</v>
      </c>
      <c r="Q994" s="201">
        <v>0</v>
      </c>
      <c r="R994" s="201">
        <v>0</v>
      </c>
      <c r="S994" s="201">
        <v>0</v>
      </c>
      <c r="T994" s="201">
        <v>0</v>
      </c>
      <c r="U994" s="401"/>
      <c r="V994" s="187"/>
    </row>
    <row r="995" spans="1:29" ht="15" customHeight="1">
      <c r="A995" s="255"/>
      <c r="B995" s="255"/>
      <c r="C995" s="255"/>
      <c r="D995" s="255"/>
      <c r="E995" s="255"/>
      <c r="F995" s="255"/>
      <c r="G995" s="255"/>
      <c r="H995" s="255"/>
      <c r="I995" s="255"/>
      <c r="J995" s="255"/>
      <c r="K995" s="255"/>
      <c r="L995" s="270"/>
      <c r="M995" s="270"/>
      <c r="N995" s="202"/>
      <c r="O995" s="202"/>
      <c r="P995" s="201"/>
      <c r="Q995" s="201"/>
      <c r="R995" s="201"/>
      <c r="S995" s="201"/>
      <c r="T995" s="201"/>
      <c r="U995" s="401"/>
    </row>
    <row r="996" spans="1:29" s="255" customFormat="1" ht="24" customHeight="1">
      <c r="K996" s="324" t="s">
        <v>595</v>
      </c>
      <c r="L996" s="273">
        <f t="shared" ref="L996" si="273">SUM(L992:L995)</f>
        <v>797309</v>
      </c>
      <c r="M996" s="273">
        <f t="shared" ref="M996:T996" si="274">SUM(M992:M995)</f>
        <v>767720</v>
      </c>
      <c r="N996" s="274">
        <f t="shared" ref="N996:O996" si="275">SUM(N992:N995)</f>
        <v>731351</v>
      </c>
      <c r="O996" s="274">
        <f t="shared" si="275"/>
        <v>731321</v>
      </c>
      <c r="P996" s="273">
        <f t="shared" si="274"/>
        <v>749876</v>
      </c>
      <c r="Q996" s="273">
        <f t="shared" si="274"/>
        <v>752771</v>
      </c>
      <c r="R996" s="273">
        <f t="shared" si="274"/>
        <v>760396</v>
      </c>
      <c r="S996" s="273">
        <f t="shared" ref="S996" si="276">SUM(S992:S995)</f>
        <v>792101</v>
      </c>
      <c r="T996" s="273">
        <f t="shared" si="274"/>
        <v>797013</v>
      </c>
      <c r="U996" s="404"/>
      <c r="V996" s="697"/>
      <c r="W996" s="697"/>
      <c r="X996" s="697"/>
      <c r="Y996" s="697"/>
      <c r="Z996" s="697"/>
      <c r="AA996" s="697"/>
      <c r="AB996" s="697"/>
    </row>
    <row r="997" spans="1:29" ht="15" customHeight="1">
      <c r="A997" s="255"/>
      <c r="B997" s="255"/>
      <c r="C997" s="255"/>
      <c r="D997" s="255"/>
      <c r="E997" s="255"/>
      <c r="F997" s="255"/>
      <c r="G997" s="255"/>
      <c r="H997" s="255"/>
      <c r="I997" s="255"/>
      <c r="J997" s="255"/>
      <c r="K997" s="255"/>
      <c r="L997" s="271"/>
      <c r="M997" s="271"/>
      <c r="N997" s="204"/>
      <c r="O997" s="204"/>
      <c r="P997" s="203"/>
      <c r="Q997" s="203"/>
      <c r="R997" s="203"/>
      <c r="S997" s="203"/>
      <c r="T997" s="203"/>
      <c r="V997" s="761"/>
      <c r="W997" s="761"/>
      <c r="X997" s="761"/>
      <c r="Y997" s="761"/>
      <c r="Z997" s="761"/>
      <c r="AA997" s="528"/>
    </row>
    <row r="998" spans="1:29" ht="24" customHeight="1">
      <c r="A998" s="324" t="s">
        <v>584</v>
      </c>
      <c r="B998" s="324"/>
      <c r="C998" s="324"/>
      <c r="D998" s="324"/>
      <c r="E998" s="324"/>
      <c r="F998" s="324"/>
      <c r="G998" s="324"/>
      <c r="H998" s="324"/>
      <c r="I998" s="324"/>
      <c r="J998" s="324"/>
      <c r="K998" s="324"/>
      <c r="L998" s="271"/>
      <c r="M998" s="271"/>
      <c r="N998" s="204"/>
      <c r="O998" s="204"/>
      <c r="P998" s="203"/>
      <c r="Q998" s="203"/>
      <c r="R998" s="203"/>
      <c r="S998" s="203"/>
      <c r="T998" s="203"/>
      <c r="V998" s="529"/>
      <c r="W998" s="529"/>
      <c r="X998" s="529"/>
      <c r="Y998" s="529"/>
      <c r="Z998" s="529"/>
      <c r="AC998" s="249"/>
    </row>
    <row r="999" spans="1:29" ht="24" customHeight="1">
      <c r="A999" s="320" t="s">
        <v>605</v>
      </c>
      <c r="B999" s="321"/>
      <c r="C999" s="321"/>
      <c r="D999" s="320" t="s">
        <v>1117</v>
      </c>
      <c r="E999" s="321"/>
      <c r="F999" s="321"/>
      <c r="G999" s="321"/>
      <c r="H999" s="321"/>
      <c r="I999" s="321"/>
      <c r="J999" s="321"/>
      <c r="K999" s="321"/>
      <c r="L999" s="265">
        <v>290000</v>
      </c>
      <c r="M999" s="265">
        <v>335000</v>
      </c>
      <c r="N999" s="186">
        <v>0</v>
      </c>
      <c r="O999" s="186">
        <v>0</v>
      </c>
      <c r="P999" s="185">
        <v>0</v>
      </c>
      <c r="Q999" s="185">
        <v>0</v>
      </c>
      <c r="R999" s="185">
        <v>0</v>
      </c>
      <c r="S999" s="185">
        <v>0</v>
      </c>
      <c r="T999" s="185">
        <v>0</v>
      </c>
      <c r="V999" s="586"/>
      <c r="W999" s="586"/>
      <c r="X999" s="586"/>
      <c r="Y999" s="586"/>
      <c r="Z999" s="586"/>
      <c r="AC999" s="240"/>
    </row>
    <row r="1000" spans="1:29" ht="24" customHeight="1">
      <c r="A1000" s="320" t="s">
        <v>606</v>
      </c>
      <c r="B1000" s="321"/>
      <c r="C1000" s="321"/>
      <c r="D1000" s="320" t="s">
        <v>309</v>
      </c>
      <c r="E1000" s="321"/>
      <c r="F1000" s="321"/>
      <c r="G1000" s="321"/>
      <c r="H1000" s="321"/>
      <c r="I1000" s="321"/>
      <c r="J1000" s="321"/>
      <c r="K1000" s="321"/>
      <c r="L1000" s="265">
        <v>309125</v>
      </c>
      <c r="M1000" s="265">
        <v>13400</v>
      </c>
      <c r="N1000" s="186">
        <v>0</v>
      </c>
      <c r="O1000" s="186">
        <v>0</v>
      </c>
      <c r="P1000" s="185">
        <v>0</v>
      </c>
      <c r="Q1000" s="185">
        <v>0</v>
      </c>
      <c r="R1000" s="185">
        <v>0</v>
      </c>
      <c r="S1000" s="185">
        <v>0</v>
      </c>
      <c r="T1000" s="185">
        <v>0</v>
      </c>
      <c r="V1000" s="586"/>
      <c r="W1000" s="586"/>
      <c r="X1000" s="586"/>
      <c r="Y1000" s="586"/>
      <c r="Z1000" s="586"/>
      <c r="AC1000" s="240"/>
    </row>
    <row r="1001" spans="1:29" ht="24" customHeight="1">
      <c r="A1001" s="324" t="s">
        <v>585</v>
      </c>
      <c r="B1001" s="324"/>
      <c r="C1001" s="324"/>
      <c r="D1001" s="324"/>
      <c r="E1001" s="324"/>
      <c r="F1001" s="324"/>
      <c r="G1001" s="324"/>
      <c r="H1001" s="324"/>
      <c r="I1001" s="324"/>
      <c r="J1001" s="324"/>
      <c r="K1001" s="324"/>
      <c r="L1001" s="271"/>
      <c r="M1001" s="271"/>
      <c r="N1001" s="204"/>
      <c r="O1001" s="204"/>
      <c r="P1001" s="203"/>
      <c r="Q1001" s="203"/>
      <c r="R1001" s="203"/>
      <c r="S1001" s="203"/>
      <c r="T1001" s="203"/>
      <c r="V1001" s="530"/>
      <c r="W1001" s="530"/>
      <c r="X1001" s="530"/>
      <c r="Y1001" s="530"/>
      <c r="Z1001" s="530"/>
      <c r="AC1001" s="240"/>
    </row>
    <row r="1002" spans="1:29" ht="24" customHeight="1">
      <c r="A1002" s="320" t="s">
        <v>607</v>
      </c>
      <c r="B1002" s="321"/>
      <c r="C1002" s="321"/>
      <c r="D1002" s="320" t="s">
        <v>1117</v>
      </c>
      <c r="E1002" s="321"/>
      <c r="F1002" s="321"/>
      <c r="G1002" s="321"/>
      <c r="H1002" s="321"/>
      <c r="I1002" s="321"/>
      <c r="J1002" s="321"/>
      <c r="K1002" s="321"/>
      <c r="L1002" s="265">
        <v>150000</v>
      </c>
      <c r="M1002" s="265">
        <v>100000</v>
      </c>
      <c r="N1002" s="186">
        <v>50000</v>
      </c>
      <c r="O1002" s="186">
        <v>50000</v>
      </c>
      <c r="P1002" s="185">
        <v>50000</v>
      </c>
      <c r="Q1002" s="185">
        <v>50000</v>
      </c>
      <c r="R1002" s="185">
        <v>50000</v>
      </c>
      <c r="S1002" s="185">
        <v>50000</v>
      </c>
      <c r="T1002" s="185">
        <v>50000</v>
      </c>
      <c r="V1002" s="530"/>
      <c r="W1002" s="530"/>
      <c r="X1002" s="530"/>
      <c r="Y1002" s="530"/>
      <c r="Z1002" s="530"/>
      <c r="AC1002" s="240"/>
    </row>
    <row r="1003" spans="1:29" ht="24" customHeight="1">
      <c r="A1003" s="320" t="s">
        <v>608</v>
      </c>
      <c r="B1003" s="321"/>
      <c r="C1003" s="321"/>
      <c r="D1003" s="320" t="s">
        <v>309</v>
      </c>
      <c r="E1003" s="321"/>
      <c r="F1003" s="321"/>
      <c r="G1003" s="321"/>
      <c r="H1003" s="321"/>
      <c r="I1003" s="321"/>
      <c r="J1003" s="321"/>
      <c r="K1003" s="321"/>
      <c r="L1003" s="265">
        <v>46363</v>
      </c>
      <c r="M1003" s="265">
        <v>39238</v>
      </c>
      <c r="N1003" s="186">
        <v>34488</v>
      </c>
      <c r="O1003" s="186">
        <v>34488</v>
      </c>
      <c r="P1003" s="185">
        <v>32113</v>
      </c>
      <c r="Q1003" s="185">
        <v>29738</v>
      </c>
      <c r="R1003" s="185">
        <v>27363</v>
      </c>
      <c r="S1003" s="185">
        <v>24988</v>
      </c>
      <c r="T1003" s="185">
        <v>22613</v>
      </c>
      <c r="V1003" s="530"/>
      <c r="W1003" s="530"/>
      <c r="X1003" s="530"/>
      <c r="Y1003" s="530"/>
      <c r="Z1003" s="530"/>
      <c r="AC1003" s="240"/>
    </row>
    <row r="1004" spans="1:29" ht="24" customHeight="1">
      <c r="A1004" s="324" t="s">
        <v>1122</v>
      </c>
      <c r="B1004" s="324"/>
      <c r="C1004" s="324"/>
      <c r="D1004" s="324"/>
      <c r="E1004" s="324"/>
      <c r="F1004" s="324"/>
      <c r="G1004" s="324"/>
      <c r="H1004" s="324"/>
      <c r="I1004" s="324"/>
      <c r="J1004" s="321"/>
      <c r="K1004" s="321"/>
      <c r="L1004" s="270"/>
      <c r="M1004" s="270"/>
      <c r="N1004" s="212"/>
      <c r="O1004" s="212"/>
      <c r="P1004" s="200"/>
      <c r="Q1004" s="200"/>
      <c r="R1004" s="200"/>
      <c r="S1004" s="200"/>
      <c r="T1004" s="200"/>
      <c r="V1004" s="530"/>
      <c r="W1004" s="530"/>
      <c r="X1004" s="530"/>
      <c r="Y1004" s="530"/>
      <c r="Z1004" s="530"/>
      <c r="AC1004" s="240"/>
    </row>
    <row r="1005" spans="1:29" ht="24" customHeight="1">
      <c r="A1005" s="320" t="s">
        <v>1152</v>
      </c>
      <c r="B1005" s="321"/>
      <c r="C1005" s="321"/>
      <c r="D1005" s="320" t="s">
        <v>1117</v>
      </c>
      <c r="E1005" s="321"/>
      <c r="F1005" s="321"/>
      <c r="G1005" s="321"/>
      <c r="H1005" s="321"/>
      <c r="I1005" s="321"/>
      <c r="J1005" s="321"/>
      <c r="K1005" s="321"/>
      <c r="L1005" s="265">
        <v>0</v>
      </c>
      <c r="M1005" s="265">
        <v>155000</v>
      </c>
      <c r="N1005" s="195">
        <v>455000</v>
      </c>
      <c r="O1005" s="195">
        <v>455000</v>
      </c>
      <c r="P1005" s="192">
        <v>485000</v>
      </c>
      <c r="Q1005" s="192">
        <v>500000</v>
      </c>
      <c r="R1005" s="192">
        <v>520000</v>
      </c>
      <c r="S1005" s="192">
        <v>565000</v>
      </c>
      <c r="T1005" s="192">
        <v>585000</v>
      </c>
      <c r="V1005" s="530"/>
      <c r="W1005" s="530"/>
      <c r="X1005" s="530"/>
      <c r="Y1005" s="530"/>
      <c r="Z1005" s="530"/>
      <c r="AC1005" s="240"/>
    </row>
    <row r="1006" spans="1:29" ht="24" customHeight="1">
      <c r="A1006" s="320" t="s">
        <v>1153</v>
      </c>
      <c r="B1006" s="321"/>
      <c r="C1006" s="321"/>
      <c r="D1006" s="320" t="s">
        <v>309</v>
      </c>
      <c r="E1006" s="321"/>
      <c r="F1006" s="321"/>
      <c r="G1006" s="321"/>
      <c r="H1006" s="321"/>
      <c r="I1006" s="321"/>
      <c r="J1006" s="321"/>
      <c r="K1006" s="321"/>
      <c r="L1006" s="270">
        <v>0</v>
      </c>
      <c r="M1006" s="270">
        <v>125082</v>
      </c>
      <c r="N1006" s="202">
        <v>191833</v>
      </c>
      <c r="O1006" s="202">
        <v>191833</v>
      </c>
      <c r="P1006" s="201">
        <v>182733</v>
      </c>
      <c r="Q1006" s="201">
        <v>173033</v>
      </c>
      <c r="R1006" s="201">
        <v>163033</v>
      </c>
      <c r="S1006" s="201">
        <v>152113</v>
      </c>
      <c r="T1006" s="201">
        <v>139400</v>
      </c>
      <c r="V1006" s="530"/>
      <c r="W1006" s="530"/>
      <c r="X1006" s="530"/>
      <c r="Y1006" s="530"/>
      <c r="Z1006" s="530"/>
      <c r="AC1006" s="240"/>
    </row>
    <row r="1007" spans="1:29" ht="15" customHeight="1">
      <c r="A1007" s="320"/>
      <c r="B1007" s="321"/>
      <c r="C1007" s="321"/>
      <c r="D1007" s="320"/>
      <c r="E1007" s="321"/>
      <c r="F1007" s="321"/>
      <c r="G1007" s="321"/>
      <c r="H1007" s="321"/>
      <c r="I1007" s="321"/>
      <c r="J1007" s="321"/>
      <c r="K1007" s="321"/>
      <c r="L1007" s="265"/>
      <c r="M1007" s="265"/>
      <c r="N1007" s="186"/>
      <c r="O1007" s="186"/>
      <c r="P1007" s="185"/>
      <c r="Q1007" s="185"/>
      <c r="R1007" s="185"/>
      <c r="S1007" s="185"/>
      <c r="T1007" s="185"/>
      <c r="V1007" s="240"/>
      <c r="W1007" s="240"/>
      <c r="X1007" s="240"/>
      <c r="Y1007" s="240"/>
      <c r="Z1007" s="240"/>
      <c r="AA1007" s="240"/>
      <c r="AB1007" s="240"/>
      <c r="AC1007" s="240"/>
    </row>
    <row r="1008" spans="1:29" s="255" customFormat="1" ht="24" customHeight="1">
      <c r="A1008" s="320"/>
      <c r="B1008" s="321"/>
      <c r="C1008" s="321"/>
      <c r="D1008" s="320"/>
      <c r="E1008" s="321"/>
      <c r="F1008" s="321"/>
      <c r="G1008" s="321"/>
      <c r="H1008" s="321"/>
      <c r="I1008" s="321"/>
      <c r="J1008" s="321"/>
      <c r="K1008" s="324" t="s">
        <v>598</v>
      </c>
      <c r="L1008" s="273">
        <f t="shared" ref="L1008" si="277">SUM(L999:L1006)</f>
        <v>795488</v>
      </c>
      <c r="M1008" s="273">
        <f t="shared" ref="M1008:T1008" si="278">SUM(M999:M1006)</f>
        <v>767720</v>
      </c>
      <c r="N1008" s="274">
        <f t="shared" ref="N1008:O1008" si="279">SUM(N999:N1006)</f>
        <v>731321</v>
      </c>
      <c r="O1008" s="274">
        <f t="shared" si="279"/>
        <v>731321</v>
      </c>
      <c r="P1008" s="273">
        <f t="shared" si="278"/>
        <v>749846</v>
      </c>
      <c r="Q1008" s="273">
        <f t="shared" si="278"/>
        <v>752771</v>
      </c>
      <c r="R1008" s="273">
        <f t="shared" si="278"/>
        <v>760396</v>
      </c>
      <c r="S1008" s="273">
        <f t="shared" ref="S1008" si="280">SUM(S999:S1006)</f>
        <v>792101</v>
      </c>
      <c r="T1008" s="273">
        <f t="shared" si="278"/>
        <v>797013</v>
      </c>
      <c r="U1008" s="542"/>
      <c r="V1008" s="697"/>
      <c r="W1008" s="697"/>
      <c r="X1008" s="697"/>
      <c r="Y1008" s="697"/>
      <c r="Z1008" s="697"/>
      <c r="AA1008" s="697"/>
      <c r="AB1008" s="697"/>
    </row>
    <row r="1009" spans="1:28" s="255" customFormat="1" ht="15" customHeight="1">
      <c r="A1009" s="320"/>
      <c r="B1009" s="321"/>
      <c r="C1009" s="321"/>
      <c r="D1009" s="320"/>
      <c r="E1009" s="321"/>
      <c r="F1009" s="321"/>
      <c r="G1009" s="321"/>
      <c r="H1009" s="321"/>
      <c r="I1009" s="321"/>
      <c r="J1009" s="321"/>
      <c r="K1009" s="324"/>
      <c r="L1009" s="265"/>
      <c r="M1009" s="265"/>
      <c r="N1009" s="263"/>
      <c r="O1009" s="263"/>
      <c r="P1009" s="262"/>
      <c r="Q1009" s="262"/>
      <c r="R1009" s="262"/>
      <c r="S1009" s="262"/>
      <c r="T1009" s="262"/>
      <c r="U1009" s="542"/>
      <c r="V1009" s="697"/>
      <c r="W1009" s="697"/>
      <c r="X1009" s="697"/>
      <c r="Y1009" s="697"/>
      <c r="Z1009" s="697"/>
      <c r="AA1009" s="697"/>
      <c r="AB1009" s="697"/>
    </row>
    <row r="1010" spans="1:28" s="255" customFormat="1" ht="24" customHeight="1">
      <c r="K1010" s="324" t="s">
        <v>599</v>
      </c>
      <c r="L1010" s="273">
        <f t="shared" ref="L1010" si="281">L996-L1008</f>
        <v>1821</v>
      </c>
      <c r="M1010" s="273">
        <f t="shared" ref="M1010:T1010" si="282">M996-M1008</f>
        <v>0</v>
      </c>
      <c r="N1010" s="274">
        <f t="shared" ref="N1010:O1010" si="283">N996-N1008</f>
        <v>30</v>
      </c>
      <c r="O1010" s="274">
        <f t="shared" si="283"/>
        <v>0</v>
      </c>
      <c r="P1010" s="273">
        <f t="shared" si="282"/>
        <v>30</v>
      </c>
      <c r="Q1010" s="273">
        <f t="shared" si="282"/>
        <v>0</v>
      </c>
      <c r="R1010" s="273">
        <f t="shared" si="282"/>
        <v>0</v>
      </c>
      <c r="S1010" s="273">
        <f t="shared" ref="S1010" si="284">S996-S1008</f>
        <v>0</v>
      </c>
      <c r="T1010" s="273">
        <f t="shared" si="282"/>
        <v>0</v>
      </c>
      <c r="U1010" s="405"/>
      <c r="V1010" s="697"/>
      <c r="W1010" s="697"/>
      <c r="X1010" s="697"/>
      <c r="Y1010" s="697"/>
      <c r="Z1010" s="697"/>
      <c r="AA1010" s="697"/>
      <c r="AB1010" s="697"/>
    </row>
    <row r="1011" spans="1:28" s="255" customFormat="1" ht="15" customHeight="1">
      <c r="L1011" s="273"/>
      <c r="M1011" s="273"/>
      <c r="N1011" s="274"/>
      <c r="O1011" s="274"/>
      <c r="P1011" s="273"/>
      <c r="Q1011" s="273"/>
      <c r="R1011" s="273"/>
      <c r="S1011" s="273"/>
      <c r="T1011" s="273"/>
      <c r="U1011" s="542"/>
      <c r="V1011" s="697"/>
      <c r="W1011" s="697"/>
      <c r="X1011" s="697"/>
      <c r="Y1011" s="697"/>
      <c r="Z1011" s="697"/>
      <c r="AA1011" s="697"/>
      <c r="AB1011" s="697"/>
    </row>
    <row r="1012" spans="1:28" s="255" customFormat="1" ht="24" customHeight="1">
      <c r="K1012" s="329" t="s">
        <v>601</v>
      </c>
      <c r="L1012" s="273">
        <v>0</v>
      </c>
      <c r="M1012" s="273">
        <v>0</v>
      </c>
      <c r="N1012" s="274">
        <v>30</v>
      </c>
      <c r="O1012" s="274">
        <f>M1012+O1010</f>
        <v>0</v>
      </c>
      <c r="P1012" s="273">
        <f>O1012+P1010</f>
        <v>30</v>
      </c>
      <c r="Q1012" s="273">
        <f>P1012+Q1010</f>
        <v>30</v>
      </c>
      <c r="R1012" s="273">
        <f>Q1012+R1010</f>
        <v>30</v>
      </c>
      <c r="S1012" s="273">
        <f>R1012+S1010</f>
        <v>30</v>
      </c>
      <c r="T1012" s="273">
        <f>S1012+T1010</f>
        <v>30</v>
      </c>
      <c r="U1012" s="542"/>
      <c r="V1012" s="697"/>
      <c r="W1012" s="697"/>
      <c r="X1012" s="697"/>
      <c r="Y1012" s="697"/>
      <c r="Z1012" s="697"/>
      <c r="AA1012" s="697"/>
      <c r="AB1012" s="697"/>
    </row>
    <row r="1013" spans="1:28" ht="15" customHeight="1">
      <c r="A1013" s="255"/>
      <c r="B1013" s="255"/>
      <c r="C1013" s="255"/>
      <c r="D1013" s="255"/>
      <c r="E1013" s="255"/>
      <c r="F1013" s="255"/>
      <c r="G1013" s="255"/>
      <c r="H1013" s="255"/>
      <c r="I1013" s="255"/>
      <c r="J1013" s="255"/>
      <c r="K1013" s="255"/>
      <c r="L1013" s="318"/>
      <c r="M1013" s="318"/>
      <c r="N1013" s="466"/>
      <c r="O1013" s="466"/>
      <c r="P1013" s="467"/>
      <c r="Q1013" s="467"/>
      <c r="R1013" s="467"/>
      <c r="S1013" s="467"/>
      <c r="T1013" s="467"/>
    </row>
    <row r="1014" spans="1:28" ht="24" customHeight="1">
      <c r="A1014" s="331" t="s">
        <v>1002</v>
      </c>
      <c r="B1014" s="255"/>
      <c r="C1014" s="255"/>
      <c r="D1014" s="255"/>
      <c r="E1014" s="255"/>
      <c r="F1014" s="255"/>
      <c r="G1014" s="255"/>
      <c r="H1014" s="255"/>
      <c r="I1014" s="255"/>
      <c r="J1014" s="255"/>
      <c r="K1014" s="255"/>
      <c r="L1014" s="318"/>
      <c r="M1014" s="318"/>
      <c r="N1014" s="466"/>
      <c r="O1014" s="466"/>
      <c r="P1014" s="467"/>
      <c r="Q1014" s="467"/>
      <c r="R1014" s="467"/>
      <c r="S1014" s="467"/>
      <c r="T1014" s="467"/>
      <c r="V1014" s="487"/>
      <c r="W1014" s="488"/>
      <c r="X1014" s="488"/>
    </row>
    <row r="1015" spans="1:28" ht="15" customHeight="1">
      <c r="A1015" s="255"/>
      <c r="B1015" s="255"/>
      <c r="C1015" s="255"/>
      <c r="D1015" s="255"/>
      <c r="E1015" s="255"/>
      <c r="F1015" s="255"/>
      <c r="G1015" s="255"/>
      <c r="H1015" s="255"/>
      <c r="I1015" s="255"/>
      <c r="J1015" s="255"/>
      <c r="K1015" s="255"/>
      <c r="L1015" s="318"/>
      <c r="M1015" s="318"/>
      <c r="N1015" s="466"/>
      <c r="O1015" s="466"/>
      <c r="P1015" s="467"/>
      <c r="Q1015" s="467"/>
      <c r="R1015" s="467"/>
      <c r="S1015" s="467"/>
      <c r="T1015" s="467"/>
    </row>
    <row r="1016" spans="1:28" ht="24" customHeight="1">
      <c r="A1016" s="320" t="s">
        <v>789</v>
      </c>
      <c r="B1016" s="321"/>
      <c r="C1016" s="321"/>
      <c r="D1016" s="320" t="s">
        <v>788</v>
      </c>
      <c r="E1016" s="255"/>
      <c r="F1016" s="255"/>
      <c r="G1016" s="255"/>
      <c r="H1016" s="255"/>
      <c r="I1016" s="255"/>
      <c r="J1016" s="255"/>
      <c r="K1016" s="255"/>
      <c r="L1016" s="264">
        <v>35200</v>
      </c>
      <c r="M1016" s="264">
        <v>53650</v>
      </c>
      <c r="N1016" s="189">
        <v>20000</v>
      </c>
      <c r="O1016" s="189">
        <v>20000</v>
      </c>
      <c r="P1016" s="188">
        <v>20000</v>
      </c>
      <c r="Q1016" s="188">
        <v>20000</v>
      </c>
      <c r="R1016" s="188">
        <v>20000</v>
      </c>
      <c r="S1016" s="188">
        <v>20000</v>
      </c>
      <c r="T1016" s="188">
        <v>20000</v>
      </c>
    </row>
    <row r="1017" spans="1:28" ht="24" customHeight="1">
      <c r="A1017" s="320" t="s">
        <v>750</v>
      </c>
      <c r="B1017" s="321"/>
      <c r="C1017" s="321"/>
      <c r="D1017" s="765" t="s">
        <v>6</v>
      </c>
      <c r="E1017" s="765"/>
      <c r="F1017" s="765"/>
      <c r="G1017" s="765"/>
      <c r="H1017" s="765"/>
      <c r="I1017" s="765"/>
      <c r="J1017" s="765"/>
      <c r="K1017" s="765"/>
      <c r="L1017" s="279">
        <v>8</v>
      </c>
      <c r="M1017" s="279">
        <v>16</v>
      </c>
      <c r="N1017" s="214">
        <v>20</v>
      </c>
      <c r="O1017" s="214">
        <v>10</v>
      </c>
      <c r="P1017" s="213">
        <v>20</v>
      </c>
      <c r="Q1017" s="213">
        <v>10</v>
      </c>
      <c r="R1017" s="213">
        <v>10</v>
      </c>
      <c r="S1017" s="213">
        <v>10</v>
      </c>
      <c r="T1017" s="213">
        <v>10</v>
      </c>
    </row>
    <row r="1018" spans="1:28" ht="15" customHeight="1">
      <c r="A1018" s="255"/>
      <c r="B1018" s="255"/>
      <c r="C1018" s="255"/>
      <c r="D1018" s="255"/>
      <c r="E1018" s="255"/>
      <c r="F1018" s="255"/>
      <c r="G1018" s="255"/>
      <c r="H1018" s="255"/>
      <c r="I1018" s="255"/>
      <c r="J1018" s="255"/>
      <c r="K1018" s="255"/>
      <c r="L1018" s="271"/>
      <c r="M1018" s="271"/>
      <c r="N1018" s="204"/>
      <c r="O1018" s="204"/>
      <c r="P1018" s="203"/>
      <c r="Q1018" s="203"/>
      <c r="R1018" s="203"/>
      <c r="S1018" s="203"/>
      <c r="T1018" s="203"/>
    </row>
    <row r="1019" spans="1:28" s="255" customFormat="1" ht="24" customHeight="1">
      <c r="K1019" s="324" t="s">
        <v>595</v>
      </c>
      <c r="L1019" s="273">
        <f t="shared" ref="L1019:T1019" si="285">SUM(L1016:L1018)</f>
        <v>35208</v>
      </c>
      <c r="M1019" s="273">
        <f t="shared" si="285"/>
        <v>53666</v>
      </c>
      <c r="N1019" s="274">
        <f t="shared" si="285"/>
        <v>20020</v>
      </c>
      <c r="O1019" s="274">
        <f t="shared" si="285"/>
        <v>20010</v>
      </c>
      <c r="P1019" s="273">
        <f t="shared" si="285"/>
        <v>20020</v>
      </c>
      <c r="Q1019" s="273">
        <f t="shared" si="285"/>
        <v>20010</v>
      </c>
      <c r="R1019" s="273">
        <f t="shared" si="285"/>
        <v>20010</v>
      </c>
      <c r="S1019" s="273">
        <f t="shared" si="285"/>
        <v>20010</v>
      </c>
      <c r="T1019" s="273">
        <f t="shared" si="285"/>
        <v>20010</v>
      </c>
      <c r="U1019" s="542"/>
    </row>
    <row r="1020" spans="1:28" ht="15" customHeight="1">
      <c r="A1020" s="255"/>
      <c r="B1020" s="255"/>
      <c r="C1020" s="255"/>
      <c r="D1020" s="255"/>
      <c r="E1020" s="255"/>
      <c r="F1020" s="255"/>
      <c r="G1020" s="255"/>
      <c r="H1020" s="255"/>
      <c r="I1020" s="255"/>
      <c r="J1020" s="255"/>
      <c r="K1020" s="324"/>
      <c r="L1020" s="273"/>
      <c r="M1020" s="273"/>
      <c r="N1020" s="207"/>
      <c r="O1020" s="207"/>
      <c r="P1020" s="206"/>
      <c r="Q1020" s="206"/>
      <c r="R1020" s="206"/>
      <c r="S1020" s="206"/>
      <c r="T1020" s="206"/>
    </row>
    <row r="1021" spans="1:28" ht="24" customHeight="1">
      <c r="A1021" s="320" t="s">
        <v>1058</v>
      </c>
      <c r="B1021" s="255"/>
      <c r="C1021" s="255"/>
      <c r="D1021" s="320" t="s">
        <v>1206</v>
      </c>
      <c r="E1021" s="418"/>
      <c r="F1021" s="418"/>
      <c r="G1021" s="418"/>
      <c r="H1021" s="418"/>
      <c r="I1021" s="418"/>
      <c r="J1021" s="418"/>
      <c r="K1021" s="324"/>
      <c r="L1021" s="285">
        <v>0</v>
      </c>
      <c r="M1021" s="285">
        <v>3000</v>
      </c>
      <c r="N1021" s="224">
        <v>3500</v>
      </c>
      <c r="O1021" s="224">
        <v>3500</v>
      </c>
      <c r="P1021" s="223">
        <v>3500</v>
      </c>
      <c r="Q1021" s="223">
        <v>3500</v>
      </c>
      <c r="R1021" s="223">
        <v>3500</v>
      </c>
      <c r="S1021" s="223">
        <v>3500</v>
      </c>
      <c r="T1021" s="223">
        <v>3500</v>
      </c>
      <c r="V1021" s="187"/>
    </row>
    <row r="1022" spans="1:28" ht="24" customHeight="1">
      <c r="A1022" s="320" t="s">
        <v>983</v>
      </c>
      <c r="B1022" s="321"/>
      <c r="C1022" s="321"/>
      <c r="D1022" s="320" t="s">
        <v>249</v>
      </c>
      <c r="E1022" s="321"/>
      <c r="F1022" s="321"/>
      <c r="G1022" s="321"/>
      <c r="H1022" s="321"/>
      <c r="I1022" s="321"/>
      <c r="J1022" s="255"/>
      <c r="K1022" s="324"/>
      <c r="L1022" s="285">
        <v>3153</v>
      </c>
      <c r="M1022" s="285">
        <v>7074</v>
      </c>
      <c r="N1022" s="224">
        <v>0</v>
      </c>
      <c r="O1022" s="224">
        <v>0</v>
      </c>
      <c r="P1022" s="223">
        <v>0</v>
      </c>
      <c r="Q1022" s="223">
        <v>0</v>
      </c>
      <c r="R1022" s="223">
        <v>0</v>
      </c>
      <c r="S1022" s="223">
        <v>0</v>
      </c>
      <c r="T1022" s="223">
        <v>0</v>
      </c>
    </row>
    <row r="1023" spans="1:28" ht="24" customHeight="1">
      <c r="A1023" s="320" t="s">
        <v>980</v>
      </c>
      <c r="B1023" s="255"/>
      <c r="C1023" s="255"/>
      <c r="D1023" s="320" t="s">
        <v>579</v>
      </c>
      <c r="E1023" s="255"/>
      <c r="F1023" s="255"/>
      <c r="G1023" s="255"/>
      <c r="H1023" s="255"/>
      <c r="I1023" s="255"/>
      <c r="J1023" s="255"/>
      <c r="K1023" s="255"/>
      <c r="L1023" s="285">
        <v>0</v>
      </c>
      <c r="M1023" s="285">
        <v>1482</v>
      </c>
      <c r="N1023" s="224">
        <v>0</v>
      </c>
      <c r="O1023" s="224">
        <v>0</v>
      </c>
      <c r="P1023" s="223">
        <v>0</v>
      </c>
      <c r="Q1023" s="223">
        <v>0</v>
      </c>
      <c r="R1023" s="223">
        <v>0</v>
      </c>
      <c r="S1023" s="223">
        <v>0</v>
      </c>
      <c r="T1023" s="223">
        <v>0</v>
      </c>
    </row>
    <row r="1024" spans="1:28" ht="24" customHeight="1">
      <c r="A1024" s="320" t="s">
        <v>981</v>
      </c>
      <c r="B1024" s="255"/>
      <c r="C1024" s="255"/>
      <c r="D1024" s="320" t="s">
        <v>1176</v>
      </c>
      <c r="E1024" s="255"/>
      <c r="F1024" s="255"/>
      <c r="G1024" s="255"/>
      <c r="H1024" s="255"/>
      <c r="I1024" s="255"/>
      <c r="J1024" s="255"/>
      <c r="K1024" s="255"/>
      <c r="L1024" s="285">
        <v>0</v>
      </c>
      <c r="M1024" s="285">
        <v>666</v>
      </c>
      <c r="N1024" s="224">
        <v>0</v>
      </c>
      <c r="O1024" s="224">
        <v>0</v>
      </c>
      <c r="P1024" s="223">
        <v>0</v>
      </c>
      <c r="Q1024" s="223">
        <v>0</v>
      </c>
      <c r="R1024" s="223">
        <v>0</v>
      </c>
      <c r="S1024" s="223">
        <v>0</v>
      </c>
      <c r="T1024" s="223">
        <v>0</v>
      </c>
    </row>
    <row r="1025" spans="1:25" ht="24" customHeight="1">
      <c r="A1025" s="320" t="s">
        <v>982</v>
      </c>
      <c r="B1025" s="255"/>
      <c r="C1025" s="255"/>
      <c r="D1025" s="320" t="s">
        <v>582</v>
      </c>
      <c r="E1025" s="255"/>
      <c r="F1025" s="255"/>
      <c r="G1025" s="255"/>
      <c r="H1025" s="255"/>
      <c r="I1025" s="255"/>
      <c r="J1025" s="255"/>
      <c r="K1025" s="255"/>
      <c r="L1025" s="285">
        <v>1768</v>
      </c>
      <c r="M1025" s="285">
        <v>2062</v>
      </c>
      <c r="N1025" s="224">
        <v>0</v>
      </c>
      <c r="O1025" s="224">
        <v>0</v>
      </c>
      <c r="P1025" s="223">
        <v>0</v>
      </c>
      <c r="Q1025" s="223">
        <v>0</v>
      </c>
      <c r="R1025" s="223">
        <v>0</v>
      </c>
      <c r="S1025" s="223">
        <v>0</v>
      </c>
      <c r="T1025" s="223">
        <v>0</v>
      </c>
    </row>
    <row r="1026" spans="1:25" ht="24" customHeight="1">
      <c r="A1026" s="320" t="s">
        <v>985</v>
      </c>
      <c r="B1026" s="255"/>
      <c r="C1026" s="255"/>
      <c r="D1026" s="320" t="s">
        <v>984</v>
      </c>
      <c r="E1026" s="255"/>
      <c r="F1026" s="255"/>
      <c r="G1026" s="255"/>
      <c r="H1026" s="255"/>
      <c r="I1026" s="255"/>
      <c r="J1026" s="255"/>
      <c r="K1026" s="255"/>
      <c r="L1026" s="303">
        <v>21391</v>
      </c>
      <c r="M1026" s="303">
        <v>28200</v>
      </c>
      <c r="N1026" s="245">
        <v>51515</v>
      </c>
      <c r="O1026" s="245">
        <v>51515</v>
      </c>
      <c r="P1026" s="244">
        <v>8395</v>
      </c>
      <c r="Q1026" s="244">
        <v>16500</v>
      </c>
      <c r="R1026" s="244">
        <v>16510</v>
      </c>
      <c r="S1026" s="244">
        <v>16510</v>
      </c>
      <c r="T1026" s="244">
        <v>16510</v>
      </c>
      <c r="V1026" s="487"/>
      <c r="W1026" s="487"/>
      <c r="X1026" s="487"/>
    </row>
    <row r="1027" spans="1:25" ht="15" customHeight="1">
      <c r="A1027" s="320"/>
      <c r="B1027" s="255"/>
      <c r="C1027" s="255"/>
      <c r="D1027" s="255"/>
      <c r="E1027" s="255"/>
      <c r="F1027" s="255"/>
      <c r="G1027" s="255"/>
      <c r="H1027" s="255"/>
      <c r="I1027" s="255"/>
      <c r="J1027" s="255"/>
      <c r="K1027" s="255"/>
      <c r="L1027" s="271"/>
      <c r="M1027" s="271"/>
      <c r="N1027" s="204"/>
      <c r="O1027" s="204"/>
      <c r="P1027" s="203"/>
      <c r="Q1027" s="203"/>
      <c r="R1027" s="203"/>
      <c r="S1027" s="203"/>
      <c r="T1027" s="203"/>
    </row>
    <row r="1028" spans="1:25" s="255" customFormat="1" ht="24" customHeight="1">
      <c r="A1028" s="320"/>
      <c r="K1028" s="324" t="s">
        <v>598</v>
      </c>
      <c r="L1028" s="273">
        <f t="shared" ref="L1028:T1028" si="286">SUM(L1021:L1027)</f>
        <v>26312</v>
      </c>
      <c r="M1028" s="273">
        <f t="shared" si="286"/>
        <v>42484</v>
      </c>
      <c r="N1028" s="274">
        <f t="shared" si="286"/>
        <v>55015</v>
      </c>
      <c r="O1028" s="274">
        <f t="shared" si="286"/>
        <v>55015</v>
      </c>
      <c r="P1028" s="273">
        <f t="shared" si="286"/>
        <v>11895</v>
      </c>
      <c r="Q1028" s="273">
        <f t="shared" si="286"/>
        <v>20000</v>
      </c>
      <c r="R1028" s="273">
        <f t="shared" si="286"/>
        <v>20010</v>
      </c>
      <c r="S1028" s="273">
        <f t="shared" si="286"/>
        <v>20010</v>
      </c>
      <c r="T1028" s="273">
        <f t="shared" si="286"/>
        <v>20010</v>
      </c>
      <c r="U1028" s="542"/>
      <c r="V1028" s="697"/>
      <c r="W1028" s="697"/>
      <c r="X1028" s="697"/>
      <c r="Y1028" s="697"/>
    </row>
    <row r="1029" spans="1:25" s="255" customFormat="1" ht="15" customHeight="1">
      <c r="A1029" s="320"/>
      <c r="L1029" s="271"/>
      <c r="M1029" s="271"/>
      <c r="N1029" s="272"/>
      <c r="O1029" s="272"/>
      <c r="P1029" s="271"/>
      <c r="Q1029" s="271"/>
      <c r="R1029" s="271"/>
      <c r="S1029" s="271"/>
      <c r="T1029" s="271"/>
      <c r="U1029" s="542"/>
      <c r="V1029" s="697"/>
      <c r="W1029" s="697"/>
      <c r="X1029" s="697"/>
      <c r="Y1029" s="697"/>
    </row>
    <row r="1030" spans="1:25" s="255" customFormat="1" ht="24" customHeight="1">
      <c r="K1030" s="324" t="s">
        <v>599</v>
      </c>
      <c r="L1030" s="273">
        <f t="shared" ref="L1030:T1030" si="287">L1019-L1028</f>
        <v>8896</v>
      </c>
      <c r="M1030" s="273">
        <f t="shared" si="287"/>
        <v>11182</v>
      </c>
      <c r="N1030" s="274">
        <f t="shared" si="287"/>
        <v>-34995</v>
      </c>
      <c r="O1030" s="274">
        <f t="shared" ref="O1030" si="288">O1019-O1028</f>
        <v>-35005</v>
      </c>
      <c r="P1030" s="273">
        <f t="shared" si="287"/>
        <v>8125</v>
      </c>
      <c r="Q1030" s="273">
        <f t="shared" si="287"/>
        <v>10</v>
      </c>
      <c r="R1030" s="273">
        <f t="shared" si="287"/>
        <v>0</v>
      </c>
      <c r="S1030" s="273">
        <f t="shared" si="287"/>
        <v>0</v>
      </c>
      <c r="T1030" s="273">
        <f t="shared" si="287"/>
        <v>0</v>
      </c>
      <c r="U1030" s="542"/>
      <c r="V1030" s="697"/>
      <c r="W1030" s="697"/>
      <c r="X1030" s="697"/>
      <c r="Y1030" s="697"/>
    </row>
    <row r="1031" spans="1:25" s="255" customFormat="1" ht="15" customHeight="1">
      <c r="L1031" s="271"/>
      <c r="M1031" s="271"/>
      <c r="N1031" s="272"/>
      <c r="O1031" s="272"/>
      <c r="P1031" s="271"/>
      <c r="Q1031" s="271"/>
      <c r="R1031" s="271"/>
      <c r="S1031" s="271"/>
      <c r="T1031" s="271"/>
      <c r="U1031" s="542"/>
    </row>
    <row r="1032" spans="1:25" s="255" customFormat="1" ht="24" customHeight="1">
      <c r="K1032" s="329" t="s">
        <v>601</v>
      </c>
      <c r="L1032" s="273">
        <v>15689</v>
      </c>
      <c r="M1032" s="273">
        <v>26870</v>
      </c>
      <c r="N1032" s="274">
        <v>0</v>
      </c>
      <c r="O1032" s="274">
        <f>M1032+O1030</f>
        <v>-8135</v>
      </c>
      <c r="P1032" s="273">
        <f>O1032+P1030</f>
        <v>-10</v>
      </c>
      <c r="Q1032" s="273">
        <f>P1032+Q1030</f>
        <v>0</v>
      </c>
      <c r="R1032" s="273">
        <f>Q1032+R1030</f>
        <v>0</v>
      </c>
      <c r="S1032" s="273">
        <f>R1032+S1030</f>
        <v>0</v>
      </c>
      <c r="T1032" s="273">
        <f>S1032+T1030</f>
        <v>0</v>
      </c>
      <c r="U1032" s="542"/>
    </row>
    <row r="1033" spans="1:25" ht="15" customHeight="1">
      <c r="A1033" s="255"/>
      <c r="B1033" s="255"/>
      <c r="C1033" s="255"/>
      <c r="D1033" s="255"/>
      <c r="E1033" s="255"/>
      <c r="F1033" s="255"/>
      <c r="G1033" s="255"/>
      <c r="H1033" s="255"/>
      <c r="I1033" s="255"/>
      <c r="J1033" s="255"/>
      <c r="K1033" s="255"/>
      <c r="L1033" s="318"/>
      <c r="M1033" s="318"/>
      <c r="N1033" s="466"/>
      <c r="O1033" s="466"/>
      <c r="P1033" s="467"/>
      <c r="Q1033" s="467"/>
      <c r="R1033" s="467"/>
      <c r="S1033" s="467"/>
      <c r="T1033" s="467"/>
    </row>
    <row r="1034" spans="1:25" ht="24" customHeight="1">
      <c r="A1034" s="331" t="s">
        <v>588</v>
      </c>
      <c r="B1034" s="255"/>
      <c r="C1034" s="255"/>
      <c r="D1034" s="255"/>
      <c r="E1034" s="255"/>
      <c r="F1034" s="255"/>
      <c r="G1034" s="255"/>
      <c r="H1034" s="255"/>
      <c r="I1034" s="255"/>
      <c r="J1034" s="255"/>
      <c r="K1034" s="255"/>
      <c r="L1034" s="318"/>
      <c r="M1034" s="318"/>
      <c r="N1034" s="466"/>
      <c r="O1034" s="466"/>
      <c r="P1034" s="467"/>
      <c r="Q1034" s="467"/>
      <c r="R1034" s="467"/>
      <c r="S1034" s="467"/>
      <c r="T1034" s="467"/>
    </row>
    <row r="1035" spans="1:25" ht="15" customHeight="1">
      <c r="A1035" s="255"/>
      <c r="B1035" s="255"/>
      <c r="C1035" s="255"/>
      <c r="D1035" s="255"/>
      <c r="E1035" s="255"/>
      <c r="F1035" s="255"/>
      <c r="G1035" s="255"/>
      <c r="H1035" s="255"/>
      <c r="I1035" s="255"/>
      <c r="J1035" s="255"/>
      <c r="K1035" s="255"/>
      <c r="L1035" s="318"/>
      <c r="M1035" s="318"/>
      <c r="N1035" s="466"/>
      <c r="O1035" s="466"/>
      <c r="P1035" s="467"/>
      <c r="Q1035" s="467"/>
      <c r="R1035" s="467"/>
      <c r="S1035" s="467"/>
      <c r="T1035" s="467"/>
    </row>
    <row r="1036" spans="1:25" ht="24" customHeight="1">
      <c r="A1036" s="430" t="s">
        <v>1223</v>
      </c>
      <c r="B1036" s="255"/>
      <c r="C1036" s="255"/>
      <c r="D1036" s="430" t="s">
        <v>1222</v>
      </c>
      <c r="E1036" s="255"/>
      <c r="F1036" s="255"/>
      <c r="G1036" s="255"/>
      <c r="H1036" s="255"/>
      <c r="I1036" s="255"/>
      <c r="J1036" s="255"/>
      <c r="K1036" s="255"/>
      <c r="L1036" s="264">
        <v>0</v>
      </c>
      <c r="M1036" s="264">
        <v>0</v>
      </c>
      <c r="N1036" s="189">
        <v>0</v>
      </c>
      <c r="O1036" s="189">
        <v>9295</v>
      </c>
      <c r="P1036" s="188">
        <v>100000</v>
      </c>
      <c r="Q1036" s="188">
        <v>100000</v>
      </c>
      <c r="R1036" s="188">
        <v>100000</v>
      </c>
      <c r="S1036" s="188">
        <v>100000</v>
      </c>
      <c r="T1036" s="188">
        <v>100000</v>
      </c>
    </row>
    <row r="1037" spans="1:25" ht="24" customHeight="1">
      <c r="A1037" s="502" t="s">
        <v>1298</v>
      </c>
      <c r="B1037" s="502"/>
      <c r="C1037" s="502"/>
      <c r="D1037" s="502" t="s">
        <v>1240</v>
      </c>
      <c r="E1037" s="502"/>
      <c r="F1037" s="502"/>
      <c r="G1037" s="502"/>
      <c r="H1037" s="502"/>
      <c r="I1037" s="502"/>
      <c r="J1037" s="502"/>
      <c r="K1037" s="502"/>
      <c r="L1037" s="264">
        <v>0</v>
      </c>
      <c r="M1037" s="264">
        <v>2043</v>
      </c>
      <c r="N1037" s="189">
        <v>20000</v>
      </c>
      <c r="O1037" s="189">
        <v>0</v>
      </c>
      <c r="P1037" s="188">
        <v>0</v>
      </c>
      <c r="Q1037" s="188">
        <v>0</v>
      </c>
      <c r="R1037" s="188">
        <v>0</v>
      </c>
      <c r="S1037" s="188">
        <v>0</v>
      </c>
      <c r="T1037" s="188">
        <v>0</v>
      </c>
    </row>
    <row r="1038" spans="1:25" ht="24" customHeight="1">
      <c r="A1038" s="320" t="s">
        <v>587</v>
      </c>
      <c r="B1038" s="321"/>
      <c r="C1038" s="321"/>
      <c r="D1038" s="746" t="s">
        <v>6</v>
      </c>
      <c r="E1038" s="746"/>
      <c r="F1038" s="746"/>
      <c r="G1038" s="746"/>
      <c r="H1038" s="746"/>
      <c r="I1038" s="746"/>
      <c r="J1038" s="746"/>
      <c r="K1038" s="746"/>
      <c r="L1038" s="264">
        <v>2132</v>
      </c>
      <c r="M1038" s="264">
        <v>106</v>
      </c>
      <c r="N1038" s="189">
        <v>0</v>
      </c>
      <c r="O1038" s="189">
        <v>0</v>
      </c>
      <c r="P1038" s="188">
        <v>0</v>
      </c>
      <c r="Q1038" s="188">
        <v>0</v>
      </c>
      <c r="R1038" s="188">
        <v>0</v>
      </c>
      <c r="S1038" s="188">
        <v>0</v>
      </c>
      <c r="T1038" s="188">
        <v>0</v>
      </c>
    </row>
    <row r="1039" spans="1:25" ht="24" customHeight="1">
      <c r="A1039" s="320" t="s">
        <v>1348</v>
      </c>
      <c r="B1039" s="520"/>
      <c r="C1039" s="520"/>
      <c r="D1039" s="746" t="s">
        <v>1349</v>
      </c>
      <c r="E1039" s="746"/>
      <c r="F1039" s="746"/>
      <c r="G1039" s="746"/>
      <c r="H1039" s="746"/>
      <c r="I1039" s="746"/>
      <c r="J1039" s="746"/>
      <c r="K1039" s="746"/>
      <c r="L1039" s="279">
        <v>0</v>
      </c>
      <c r="M1039" s="279">
        <v>1235000</v>
      </c>
      <c r="N1039" s="214">
        <v>0</v>
      </c>
      <c r="O1039" s="214">
        <v>0</v>
      </c>
      <c r="P1039" s="213">
        <v>0</v>
      </c>
      <c r="Q1039" s="213">
        <v>0</v>
      </c>
      <c r="R1039" s="213">
        <v>0</v>
      </c>
      <c r="S1039" s="213">
        <v>0</v>
      </c>
      <c r="T1039" s="213">
        <v>0</v>
      </c>
    </row>
    <row r="1040" spans="1:25" ht="15" customHeight="1">
      <c r="A1040" s="255"/>
      <c r="B1040" s="255"/>
      <c r="C1040" s="255"/>
      <c r="D1040" s="255"/>
      <c r="E1040" s="255"/>
      <c r="F1040" s="255"/>
      <c r="G1040" s="255"/>
      <c r="H1040" s="255"/>
      <c r="I1040" s="255"/>
      <c r="J1040" s="255"/>
      <c r="K1040" s="255"/>
      <c r="L1040" s="271"/>
      <c r="M1040" s="271"/>
      <c r="N1040" s="204"/>
      <c r="O1040" s="204"/>
      <c r="P1040" s="203"/>
      <c r="Q1040" s="203"/>
      <c r="R1040" s="203"/>
      <c r="S1040" s="203"/>
      <c r="T1040" s="203"/>
    </row>
    <row r="1041" spans="1:32" s="255" customFormat="1" ht="24" customHeight="1">
      <c r="K1041" s="324" t="s">
        <v>595</v>
      </c>
      <c r="L1041" s="273">
        <f>SUM(L1036:L1040)</f>
        <v>2132</v>
      </c>
      <c r="M1041" s="273">
        <f t="shared" ref="M1041" si="289">SUM(M1036:M1040)</f>
        <v>1237149</v>
      </c>
      <c r="N1041" s="274">
        <f t="shared" ref="N1041:O1041" si="290">SUM(N1036:N1040)</f>
        <v>20000</v>
      </c>
      <c r="O1041" s="274">
        <f t="shared" si="290"/>
        <v>9295</v>
      </c>
      <c r="P1041" s="273">
        <f>SUM(P1036:P1040)</f>
        <v>100000</v>
      </c>
      <c r="Q1041" s="273">
        <f t="shared" ref="Q1041" si="291">SUM(Q1036:Q1040)</f>
        <v>100000</v>
      </c>
      <c r="R1041" s="273">
        <f>SUM(R1036:R1040)</f>
        <v>100000</v>
      </c>
      <c r="S1041" s="273">
        <f>SUM(S1036:S1040)</f>
        <v>100000</v>
      </c>
      <c r="T1041" s="273">
        <f>SUM(T1036:T1040)</f>
        <v>100000</v>
      </c>
      <c r="U1041" s="542"/>
    </row>
    <row r="1042" spans="1:32" ht="15" customHeight="1">
      <c r="A1042" s="255"/>
      <c r="B1042" s="255"/>
      <c r="C1042" s="255"/>
      <c r="D1042" s="255"/>
      <c r="E1042" s="255"/>
      <c r="F1042" s="255"/>
      <c r="G1042" s="255"/>
      <c r="H1042" s="255"/>
      <c r="I1042" s="255"/>
      <c r="J1042" s="255"/>
      <c r="K1042" s="255"/>
      <c r="L1042" s="271"/>
      <c r="M1042" s="271"/>
      <c r="N1042" s="204"/>
      <c r="O1042" s="204"/>
      <c r="P1042" s="203"/>
      <c r="Q1042" s="203"/>
      <c r="R1042" s="203"/>
      <c r="S1042" s="203"/>
      <c r="T1042" s="203"/>
    </row>
    <row r="1043" spans="1:32" ht="24" customHeight="1">
      <c r="A1043" s="320" t="s">
        <v>1350</v>
      </c>
      <c r="B1043" s="520"/>
      <c r="C1043" s="520"/>
      <c r="D1043" s="320" t="s">
        <v>1351</v>
      </c>
      <c r="E1043" s="520"/>
      <c r="F1043" s="520"/>
      <c r="G1043" s="520"/>
      <c r="H1043" s="520"/>
      <c r="I1043" s="520"/>
      <c r="J1043" s="520"/>
      <c r="K1043" s="521"/>
      <c r="L1043" s="262">
        <v>0</v>
      </c>
      <c r="M1043" s="262">
        <v>37315</v>
      </c>
      <c r="N1043" s="186">
        <v>0</v>
      </c>
      <c r="O1043" s="186">
        <v>0</v>
      </c>
      <c r="P1043" s="185">
        <v>0</v>
      </c>
      <c r="Q1043" s="185">
        <v>0</v>
      </c>
      <c r="R1043" s="185">
        <v>0</v>
      </c>
      <c r="S1043" s="185">
        <v>0</v>
      </c>
      <c r="T1043" s="185">
        <v>0</v>
      </c>
      <c r="V1043" s="190"/>
    </row>
    <row r="1044" spans="1:32" ht="24" customHeight="1">
      <c r="A1044" s="320" t="s">
        <v>1054</v>
      </c>
      <c r="B1044" s="321"/>
      <c r="C1044" s="321"/>
      <c r="D1044" s="320" t="s">
        <v>1120</v>
      </c>
      <c r="E1044" s="321"/>
      <c r="F1044" s="321"/>
      <c r="G1044" s="321"/>
      <c r="H1044" s="321"/>
      <c r="I1044" s="321"/>
      <c r="J1044" s="321"/>
      <c r="K1044" s="255"/>
      <c r="L1044" s="262">
        <v>0</v>
      </c>
      <c r="M1044" s="262">
        <v>1800000</v>
      </c>
      <c r="N1044" s="186">
        <v>0</v>
      </c>
      <c r="O1044" s="186">
        <v>0</v>
      </c>
      <c r="P1044" s="185">
        <v>0</v>
      </c>
      <c r="Q1044" s="185">
        <v>0</v>
      </c>
      <c r="R1044" s="185">
        <v>0</v>
      </c>
      <c r="S1044" s="185">
        <v>0</v>
      </c>
      <c r="T1044" s="185">
        <v>0</v>
      </c>
      <c r="V1044" s="190"/>
    </row>
    <row r="1045" spans="1:32" ht="24" customHeight="1">
      <c r="A1045" s="320" t="s">
        <v>1444</v>
      </c>
      <c r="B1045" s="656"/>
      <c r="C1045" s="656"/>
      <c r="D1045" s="320" t="s">
        <v>10</v>
      </c>
      <c r="E1045" s="656"/>
      <c r="F1045" s="656"/>
      <c r="G1045" s="656"/>
      <c r="H1045" s="656"/>
      <c r="I1045" s="656"/>
      <c r="J1045" s="656"/>
      <c r="K1045" s="657"/>
      <c r="L1045" s="262">
        <v>2627</v>
      </c>
      <c r="M1045" s="262">
        <v>3416</v>
      </c>
      <c r="N1045" s="186">
        <v>2000</v>
      </c>
      <c r="O1045" s="186">
        <v>2000</v>
      </c>
      <c r="P1045" s="185">
        <v>2000</v>
      </c>
      <c r="Q1045" s="185">
        <v>2000</v>
      </c>
      <c r="R1045" s="185">
        <v>2000</v>
      </c>
      <c r="S1045" s="185">
        <v>2000</v>
      </c>
      <c r="T1045" s="185">
        <v>2000</v>
      </c>
      <c r="V1045" s="190"/>
    </row>
    <row r="1046" spans="1:32" ht="24" customHeight="1">
      <c r="A1046" s="320" t="s">
        <v>1299</v>
      </c>
      <c r="B1046" s="501"/>
      <c r="C1046" s="501"/>
      <c r="D1046" s="320" t="s">
        <v>1132</v>
      </c>
      <c r="E1046" s="501"/>
      <c r="F1046" s="501"/>
      <c r="G1046" s="501"/>
      <c r="H1046" s="501"/>
      <c r="I1046" s="501"/>
      <c r="J1046" s="501"/>
      <c r="K1046" s="501"/>
      <c r="L1046" s="265">
        <f t="shared" ref="L1046" si="292">L1037</f>
        <v>0</v>
      </c>
      <c r="M1046" s="265">
        <v>2043</v>
      </c>
      <c r="N1046" s="267">
        <v>20000</v>
      </c>
      <c r="O1046" s="267">
        <v>0</v>
      </c>
      <c r="P1046" s="265">
        <f t="shared" ref="P1046:S1046" si="293">P1037</f>
        <v>0</v>
      </c>
      <c r="Q1046" s="265">
        <f t="shared" si="293"/>
        <v>0</v>
      </c>
      <c r="R1046" s="265">
        <f t="shared" si="293"/>
        <v>0</v>
      </c>
      <c r="S1046" s="265">
        <f t="shared" si="293"/>
        <v>0</v>
      </c>
      <c r="T1046" s="265">
        <f t="shared" ref="T1046" si="294">T1037</f>
        <v>0</v>
      </c>
      <c r="V1046" s="190"/>
    </row>
    <row r="1047" spans="1:32" ht="24" customHeight="1">
      <c r="A1047" s="320" t="s">
        <v>589</v>
      </c>
      <c r="B1047" s="321"/>
      <c r="C1047" s="321"/>
      <c r="D1047" s="320" t="s">
        <v>331</v>
      </c>
      <c r="E1047" s="321"/>
      <c r="F1047" s="321"/>
      <c r="G1047" s="321"/>
      <c r="H1047" s="321"/>
      <c r="I1047" s="321"/>
      <c r="J1047" s="321"/>
      <c r="K1047" s="255"/>
      <c r="L1047" s="265">
        <v>375</v>
      </c>
      <c r="M1047" s="265">
        <v>375</v>
      </c>
      <c r="N1047" s="195">
        <v>1325</v>
      </c>
      <c r="O1047" s="195">
        <v>1325</v>
      </c>
      <c r="P1047" s="192">
        <v>1140</v>
      </c>
      <c r="Q1047" s="192">
        <v>1140</v>
      </c>
      <c r="R1047" s="192">
        <v>1140</v>
      </c>
      <c r="S1047" s="192">
        <v>1140</v>
      </c>
      <c r="T1047" s="192">
        <v>1140</v>
      </c>
      <c r="V1047" s="761"/>
      <c r="W1047" s="761"/>
      <c r="X1047" s="761"/>
      <c r="Y1047" s="761"/>
      <c r="Z1047" s="761"/>
      <c r="AA1047" s="761"/>
      <c r="AB1047" s="761"/>
      <c r="AC1047" s="761"/>
      <c r="AD1047" s="761"/>
      <c r="AE1047" s="761"/>
      <c r="AF1047" s="528"/>
    </row>
    <row r="1048" spans="1:32" ht="24" customHeight="1">
      <c r="A1048" s="320" t="s">
        <v>1390</v>
      </c>
      <c r="B1048" s="550"/>
      <c r="C1048" s="550"/>
      <c r="D1048" s="320" t="s">
        <v>735</v>
      </c>
      <c r="E1048" s="550"/>
      <c r="F1048" s="550"/>
      <c r="G1048" s="550"/>
      <c r="H1048" s="550"/>
      <c r="I1048" s="550"/>
      <c r="J1048" s="550"/>
      <c r="K1048" s="550"/>
      <c r="L1048" s="265">
        <v>0</v>
      </c>
      <c r="M1048" s="265">
        <v>0</v>
      </c>
      <c r="N1048" s="195">
        <v>0</v>
      </c>
      <c r="O1048" s="195">
        <v>2198</v>
      </c>
      <c r="P1048" s="192">
        <v>0</v>
      </c>
      <c r="Q1048" s="192">
        <v>0</v>
      </c>
      <c r="R1048" s="192">
        <v>0</v>
      </c>
      <c r="S1048" s="192">
        <v>0</v>
      </c>
      <c r="T1048" s="192">
        <v>0</v>
      </c>
    </row>
    <row r="1049" spans="1:32" ht="24" customHeight="1">
      <c r="A1049" s="324" t="s">
        <v>590</v>
      </c>
      <c r="B1049" s="324"/>
      <c r="C1049" s="324"/>
      <c r="D1049" s="324"/>
      <c r="E1049" s="324"/>
      <c r="F1049" s="324"/>
      <c r="G1049" s="324"/>
      <c r="H1049" s="324"/>
      <c r="I1049" s="324"/>
      <c r="J1049" s="324"/>
      <c r="K1049" s="446"/>
      <c r="L1049" s="271"/>
      <c r="M1049" s="271"/>
      <c r="N1049" s="204"/>
      <c r="O1049" s="204"/>
      <c r="P1049" s="203"/>
      <c r="Q1049" s="203"/>
      <c r="R1049" s="203"/>
      <c r="S1049" s="203"/>
      <c r="T1049" s="203"/>
      <c r="V1049" s="529"/>
      <c r="W1049" s="529"/>
      <c r="X1049" s="529"/>
      <c r="Y1049" s="529"/>
      <c r="Z1049" s="529"/>
      <c r="AA1049" s="529"/>
      <c r="AB1049" s="529"/>
      <c r="AC1049" s="529"/>
      <c r="AD1049" s="529"/>
      <c r="AE1049" s="529"/>
    </row>
    <row r="1050" spans="1:32" ht="24" customHeight="1">
      <c r="A1050" s="320" t="s">
        <v>591</v>
      </c>
      <c r="B1050" s="445"/>
      <c r="C1050" s="445"/>
      <c r="D1050" s="320" t="s">
        <v>1117</v>
      </c>
      <c r="E1050" s="445"/>
      <c r="F1050" s="445"/>
      <c r="G1050" s="445"/>
      <c r="H1050" s="445"/>
      <c r="I1050" s="445"/>
      <c r="J1050" s="445"/>
      <c r="K1050" s="446"/>
      <c r="L1050" s="265">
        <v>180000</v>
      </c>
      <c r="M1050" s="265">
        <v>185000</v>
      </c>
      <c r="N1050" s="195">
        <v>0</v>
      </c>
      <c r="O1050" s="195">
        <v>0</v>
      </c>
      <c r="P1050" s="192">
        <v>0</v>
      </c>
      <c r="Q1050" s="192">
        <v>0</v>
      </c>
      <c r="R1050" s="192">
        <v>0</v>
      </c>
      <c r="S1050" s="192">
        <v>0</v>
      </c>
      <c r="T1050" s="192">
        <v>235000</v>
      </c>
      <c r="V1050" s="530"/>
      <c r="W1050" s="530"/>
      <c r="X1050" s="530"/>
      <c r="Y1050" s="530"/>
      <c r="Z1050" s="530"/>
      <c r="AA1050" s="530"/>
      <c r="AB1050" s="530"/>
      <c r="AC1050" s="530"/>
      <c r="AD1050" s="715"/>
      <c r="AE1050" s="715"/>
    </row>
    <row r="1051" spans="1:32" ht="24" customHeight="1">
      <c r="A1051" s="320" t="s">
        <v>592</v>
      </c>
      <c r="B1051" s="445"/>
      <c r="C1051" s="445"/>
      <c r="D1051" s="320" t="s">
        <v>309</v>
      </c>
      <c r="E1051" s="445"/>
      <c r="F1051" s="445"/>
      <c r="G1051" s="445"/>
      <c r="H1051" s="445"/>
      <c r="I1051" s="445"/>
      <c r="J1051" s="445"/>
      <c r="K1051" s="446"/>
      <c r="L1051" s="265">
        <v>124668</v>
      </c>
      <c r="M1051" s="265">
        <v>117738</v>
      </c>
      <c r="N1051" s="195">
        <v>68073</v>
      </c>
      <c r="O1051" s="195">
        <v>68073</v>
      </c>
      <c r="P1051" s="192">
        <v>68073</v>
      </c>
      <c r="Q1051" s="192">
        <v>68073</v>
      </c>
      <c r="R1051" s="192">
        <v>68073</v>
      </c>
      <c r="S1051" s="192">
        <v>68073</v>
      </c>
      <c r="T1051" s="192">
        <v>68073</v>
      </c>
      <c r="V1051" s="530"/>
      <c r="W1051" s="530"/>
      <c r="X1051" s="530"/>
      <c r="Y1051" s="530"/>
      <c r="Z1051" s="530"/>
      <c r="AA1051" s="530"/>
      <c r="AB1051" s="530"/>
      <c r="AC1051" s="530"/>
      <c r="AD1051" s="715"/>
      <c r="AE1051" s="715"/>
    </row>
    <row r="1052" spans="1:32" ht="24" customHeight="1">
      <c r="A1052" s="324" t="s">
        <v>1368</v>
      </c>
      <c r="B1052" s="324"/>
      <c r="C1052" s="324"/>
      <c r="D1052" s="324"/>
      <c r="E1052" s="324"/>
      <c r="F1052" s="324"/>
      <c r="G1052" s="324"/>
      <c r="H1052" s="324"/>
      <c r="I1052" s="324"/>
      <c r="J1052" s="324"/>
      <c r="K1052" s="255"/>
      <c r="L1052" s="271"/>
      <c r="M1052" s="271"/>
      <c r="N1052" s="204"/>
      <c r="O1052" s="204"/>
      <c r="P1052" s="203"/>
      <c r="Q1052" s="203"/>
      <c r="R1052" s="203"/>
      <c r="S1052" s="203"/>
      <c r="T1052" s="203"/>
      <c r="V1052" s="530"/>
      <c r="W1052" s="530"/>
      <c r="X1052" s="530"/>
      <c r="Y1052" s="530"/>
      <c r="Z1052" s="530"/>
      <c r="AA1052" s="530"/>
      <c r="AB1052" s="530"/>
      <c r="AC1052" s="530"/>
      <c r="AD1052" s="530"/>
      <c r="AE1052" s="488"/>
    </row>
    <row r="1053" spans="1:32" ht="24" customHeight="1">
      <c r="A1053" s="320" t="s">
        <v>1123</v>
      </c>
      <c r="B1053" s="431"/>
      <c r="C1053" s="431"/>
      <c r="D1053" s="320" t="s">
        <v>1117</v>
      </c>
      <c r="E1053" s="431"/>
      <c r="F1053" s="431"/>
      <c r="G1053" s="431"/>
      <c r="H1053" s="431"/>
      <c r="I1053" s="431"/>
      <c r="J1053" s="321"/>
      <c r="K1053" s="255"/>
      <c r="L1053" s="265">
        <v>0</v>
      </c>
      <c r="M1053" s="265">
        <v>0</v>
      </c>
      <c r="N1053" s="195">
        <v>0</v>
      </c>
      <c r="O1053" s="195">
        <v>0</v>
      </c>
      <c r="P1053" s="192">
        <v>0</v>
      </c>
      <c r="Q1053" s="192">
        <v>0</v>
      </c>
      <c r="R1053" s="192">
        <v>0</v>
      </c>
      <c r="S1053" s="192">
        <v>0</v>
      </c>
      <c r="T1053" s="192">
        <v>0</v>
      </c>
      <c r="V1053" s="530"/>
      <c r="W1053" s="530"/>
      <c r="X1053" s="530"/>
      <c r="Y1053" s="530"/>
      <c r="Z1053" s="530"/>
      <c r="AA1053" s="530"/>
      <c r="AB1053" s="530"/>
      <c r="AC1053" s="530"/>
      <c r="AD1053" s="530"/>
      <c r="AE1053" s="530"/>
    </row>
    <row r="1054" spans="1:32" ht="24" customHeight="1">
      <c r="A1054" s="320" t="s">
        <v>1124</v>
      </c>
      <c r="B1054" s="431"/>
      <c r="C1054" s="431"/>
      <c r="D1054" s="320" t="s">
        <v>309</v>
      </c>
      <c r="E1054" s="431"/>
      <c r="F1054" s="431"/>
      <c r="G1054" s="431"/>
      <c r="H1054" s="431"/>
      <c r="I1054" s="431"/>
      <c r="J1054" s="321"/>
      <c r="K1054" s="255"/>
      <c r="L1054" s="265">
        <v>0</v>
      </c>
      <c r="M1054" s="265">
        <v>0</v>
      </c>
      <c r="N1054" s="195">
        <v>0</v>
      </c>
      <c r="O1054" s="195">
        <v>0</v>
      </c>
      <c r="P1054" s="192">
        <v>25358</v>
      </c>
      <c r="Q1054" s="192">
        <v>50715</v>
      </c>
      <c r="R1054" s="192">
        <v>50715</v>
      </c>
      <c r="S1054" s="192">
        <v>50715</v>
      </c>
      <c r="T1054" s="192">
        <v>50715</v>
      </c>
      <c r="U1054" s="406"/>
      <c r="V1054" s="530"/>
      <c r="W1054" s="530"/>
      <c r="X1054" s="530"/>
      <c r="Y1054" s="530"/>
      <c r="Z1054" s="530"/>
      <c r="AA1054" s="530"/>
      <c r="AB1054" s="530"/>
      <c r="AC1054" s="530"/>
      <c r="AD1054" s="530"/>
      <c r="AE1054" s="530"/>
    </row>
    <row r="1055" spans="1:32" ht="6.95" customHeight="1">
      <c r="A1055" s="320"/>
      <c r="B1055" s="533"/>
      <c r="C1055" s="533"/>
      <c r="D1055" s="320"/>
      <c r="E1055" s="533"/>
      <c r="F1055" s="533"/>
      <c r="G1055" s="533"/>
      <c r="H1055" s="533"/>
      <c r="I1055" s="533"/>
      <c r="J1055" s="533"/>
      <c r="K1055" s="532"/>
      <c r="L1055" s="265"/>
      <c r="M1055" s="265"/>
      <c r="N1055" s="195"/>
      <c r="O1055" s="195"/>
      <c r="P1055" s="192"/>
      <c r="Q1055" s="192"/>
      <c r="R1055" s="192"/>
      <c r="S1055" s="192"/>
      <c r="T1055" s="192"/>
      <c r="U1055" s="406"/>
      <c r="V1055" s="530"/>
      <c r="W1055" s="530"/>
      <c r="X1055" s="530"/>
      <c r="Y1055" s="530"/>
      <c r="Z1055" s="530"/>
      <c r="AA1055" s="530"/>
      <c r="AB1055" s="530"/>
      <c r="AC1055" s="530"/>
      <c r="AD1055" s="530"/>
      <c r="AE1055" s="530"/>
    </row>
    <row r="1056" spans="1:32" ht="24" customHeight="1">
      <c r="A1056" s="320" t="s">
        <v>1352</v>
      </c>
      <c r="B1056" s="520"/>
      <c r="C1056" s="520"/>
      <c r="D1056" s="320" t="s">
        <v>1353</v>
      </c>
      <c r="E1056" s="520"/>
      <c r="F1056" s="520"/>
      <c r="G1056" s="520"/>
      <c r="H1056" s="520"/>
      <c r="I1056" s="520"/>
      <c r="J1056" s="520"/>
      <c r="K1056" s="521"/>
      <c r="L1056" s="262">
        <v>0</v>
      </c>
      <c r="M1056" s="262">
        <v>9773</v>
      </c>
      <c r="N1056" s="186">
        <v>0</v>
      </c>
      <c r="O1056" s="186">
        <v>0</v>
      </c>
      <c r="P1056" s="185">
        <v>0</v>
      </c>
      <c r="Q1056" s="185">
        <v>0</v>
      </c>
      <c r="R1056" s="185">
        <v>0</v>
      </c>
      <c r="S1056" s="185">
        <v>0</v>
      </c>
      <c r="T1056" s="185">
        <v>0</v>
      </c>
      <c r="V1056" s="190"/>
    </row>
    <row r="1057" spans="1:31" ht="24" customHeight="1">
      <c r="A1057" s="320" t="s">
        <v>1354</v>
      </c>
      <c r="B1057" s="520"/>
      <c r="C1057" s="520"/>
      <c r="D1057" s="320" t="s">
        <v>1355</v>
      </c>
      <c r="E1057" s="520"/>
      <c r="F1057" s="520"/>
      <c r="G1057" s="520"/>
      <c r="H1057" s="520"/>
      <c r="I1057" s="520"/>
      <c r="J1057" s="520"/>
      <c r="K1057" s="521"/>
      <c r="L1057" s="269">
        <v>0</v>
      </c>
      <c r="M1057" s="269">
        <v>1187912</v>
      </c>
      <c r="N1057" s="212">
        <v>0</v>
      </c>
      <c r="O1057" s="212">
        <v>0</v>
      </c>
      <c r="P1057" s="200">
        <v>0</v>
      </c>
      <c r="Q1057" s="200">
        <v>0</v>
      </c>
      <c r="R1057" s="200">
        <v>0</v>
      </c>
      <c r="S1057" s="200">
        <v>0</v>
      </c>
      <c r="T1057" s="200">
        <v>0</v>
      </c>
      <c r="V1057" s="190"/>
    </row>
    <row r="1058" spans="1:31" ht="15" customHeight="1">
      <c r="A1058" s="255"/>
      <c r="B1058" s="255"/>
      <c r="C1058" s="255"/>
      <c r="D1058" s="255"/>
      <c r="E1058" s="255"/>
      <c r="F1058" s="255"/>
      <c r="G1058" s="255"/>
      <c r="H1058" s="255"/>
      <c r="I1058" s="255"/>
      <c r="J1058" s="255"/>
      <c r="K1058" s="255"/>
      <c r="L1058" s="271"/>
      <c r="M1058" s="271"/>
      <c r="N1058" s="204"/>
      <c r="O1058" s="204"/>
      <c r="P1058" s="203"/>
      <c r="Q1058" s="203"/>
      <c r="R1058" s="203"/>
      <c r="S1058" s="203"/>
      <c r="T1058" s="203"/>
      <c r="V1058" s="240"/>
      <c r="W1058" s="240"/>
      <c r="X1058" s="240"/>
      <c r="Y1058" s="240"/>
      <c r="Z1058" s="240"/>
      <c r="AA1058" s="240"/>
      <c r="AB1058" s="240"/>
      <c r="AC1058" s="240"/>
      <c r="AD1058" s="240"/>
      <c r="AE1058" s="240"/>
    </row>
    <row r="1059" spans="1:31" s="255" customFormat="1" ht="24" customHeight="1">
      <c r="K1059" s="324" t="s">
        <v>598</v>
      </c>
      <c r="L1059" s="273">
        <f>SUM(L1043:L1058)</f>
        <v>307670</v>
      </c>
      <c r="M1059" s="273">
        <f t="shared" ref="M1059:T1059" si="295">SUM(M1043:M1058)</f>
        <v>3343572</v>
      </c>
      <c r="N1059" s="274">
        <f t="shared" si="295"/>
        <v>91398</v>
      </c>
      <c r="O1059" s="274">
        <f t="shared" ref="O1059" si="296">SUM(O1043:O1058)</f>
        <v>73596</v>
      </c>
      <c r="P1059" s="273">
        <f t="shared" si="295"/>
        <v>96571</v>
      </c>
      <c r="Q1059" s="273">
        <f t="shared" si="295"/>
        <v>121928</v>
      </c>
      <c r="R1059" s="273">
        <f t="shared" si="295"/>
        <v>121928</v>
      </c>
      <c r="S1059" s="273">
        <f t="shared" si="295"/>
        <v>121928</v>
      </c>
      <c r="T1059" s="273">
        <f t="shared" si="295"/>
        <v>356928</v>
      </c>
      <c r="U1059" s="542"/>
      <c r="V1059" s="341"/>
      <c r="W1059" s="341"/>
      <c r="X1059" s="341"/>
      <c r="Y1059" s="341"/>
      <c r="Z1059" s="341"/>
      <c r="AA1059" s="341"/>
      <c r="AB1059" s="341"/>
      <c r="AC1059" s="349"/>
      <c r="AD1059" s="349"/>
      <c r="AE1059" s="349"/>
    </row>
    <row r="1060" spans="1:31" s="255" customFormat="1" ht="15" customHeight="1">
      <c r="L1060" s="271"/>
      <c r="M1060" s="271"/>
      <c r="N1060" s="272"/>
      <c r="O1060" s="272"/>
      <c r="P1060" s="271"/>
      <c r="Q1060" s="271"/>
      <c r="R1060" s="271"/>
      <c r="S1060" s="271"/>
      <c r="T1060" s="271"/>
      <c r="U1060" s="542"/>
      <c r="V1060" s="697"/>
      <c r="W1060" s="697"/>
      <c r="X1060" s="697"/>
      <c r="Y1060" s="697"/>
      <c r="Z1060" s="697"/>
      <c r="AA1060" s="697"/>
      <c r="AB1060" s="697"/>
      <c r="AC1060" s="349"/>
      <c r="AD1060" s="349"/>
      <c r="AE1060" s="349"/>
    </row>
    <row r="1061" spans="1:31" s="255" customFormat="1" ht="24" customHeight="1">
      <c r="K1061" s="324" t="s">
        <v>599</v>
      </c>
      <c r="L1061" s="273">
        <f t="shared" ref="L1061:T1061" si="297">L1041-L1059</f>
        <v>-305538</v>
      </c>
      <c r="M1061" s="273">
        <f t="shared" si="297"/>
        <v>-2106423</v>
      </c>
      <c r="N1061" s="274">
        <f t="shared" si="297"/>
        <v>-71398</v>
      </c>
      <c r="O1061" s="274">
        <f t="shared" si="297"/>
        <v>-64301</v>
      </c>
      <c r="P1061" s="273">
        <f t="shared" si="297"/>
        <v>3429</v>
      </c>
      <c r="Q1061" s="273">
        <f t="shared" si="297"/>
        <v>-21928</v>
      </c>
      <c r="R1061" s="273">
        <f t="shared" si="297"/>
        <v>-21928</v>
      </c>
      <c r="S1061" s="273">
        <f t="shared" si="297"/>
        <v>-21928</v>
      </c>
      <c r="T1061" s="273">
        <f t="shared" si="297"/>
        <v>-256928</v>
      </c>
      <c r="U1061" s="542"/>
      <c r="V1061" s="697"/>
      <c r="W1061" s="697"/>
      <c r="X1061" s="697"/>
      <c r="Y1061" s="697"/>
      <c r="Z1061" s="697"/>
      <c r="AA1061" s="697"/>
      <c r="AB1061" s="697"/>
      <c r="AC1061" s="697"/>
      <c r="AD1061" s="697"/>
      <c r="AE1061" s="697"/>
    </row>
    <row r="1062" spans="1:31" s="255" customFormat="1" ht="15" customHeight="1">
      <c r="L1062" s="271"/>
      <c r="M1062" s="271"/>
      <c r="N1062" s="272"/>
      <c r="O1062" s="272"/>
      <c r="P1062" s="271"/>
      <c r="Q1062" s="271"/>
      <c r="R1062" s="271"/>
      <c r="S1062" s="271"/>
      <c r="T1062" s="271"/>
      <c r="U1062" s="542"/>
    </row>
    <row r="1063" spans="1:31" s="255" customFormat="1" ht="24" customHeight="1">
      <c r="K1063" s="329" t="s">
        <v>601</v>
      </c>
      <c r="L1063" s="290">
        <v>1572335</v>
      </c>
      <c r="M1063" s="290">
        <v>-534087</v>
      </c>
      <c r="N1063" s="291">
        <v>-604070</v>
      </c>
      <c r="O1063" s="291">
        <f>M1063+O1061</f>
        <v>-598388</v>
      </c>
      <c r="P1063" s="290">
        <f>O1063+P1061</f>
        <v>-594959</v>
      </c>
      <c r="Q1063" s="290">
        <f>P1063+Q1061</f>
        <v>-616887</v>
      </c>
      <c r="R1063" s="290">
        <f>Q1063+R1061</f>
        <v>-638815</v>
      </c>
      <c r="S1063" s="290">
        <f>R1063+S1061</f>
        <v>-660743</v>
      </c>
      <c r="T1063" s="290">
        <f>S1063+T1061</f>
        <v>-917671</v>
      </c>
      <c r="U1063" s="542"/>
    </row>
    <row r="1064" spans="1:31" ht="15" customHeight="1">
      <c r="A1064" s="255"/>
      <c r="B1064" s="255"/>
      <c r="C1064" s="255"/>
      <c r="D1064" s="255"/>
      <c r="E1064" s="255"/>
      <c r="F1064" s="255"/>
      <c r="G1064" s="255"/>
      <c r="H1064" s="255"/>
      <c r="I1064" s="255"/>
      <c r="J1064" s="255"/>
      <c r="K1064" s="255"/>
      <c r="L1064" s="468"/>
      <c r="M1064" s="468"/>
      <c r="N1064" s="472"/>
      <c r="O1064" s="472"/>
      <c r="P1064" s="473"/>
      <c r="Q1064" s="473"/>
      <c r="R1064" s="473"/>
      <c r="S1064" s="473"/>
      <c r="T1064" s="473"/>
    </row>
    <row r="1065" spans="1:31" ht="24" customHeight="1">
      <c r="A1065" s="331" t="s">
        <v>593</v>
      </c>
      <c r="B1065" s="255"/>
      <c r="C1065" s="255"/>
      <c r="D1065" s="255"/>
      <c r="E1065" s="255"/>
      <c r="F1065" s="255"/>
      <c r="G1065" s="255"/>
      <c r="H1065" s="255"/>
      <c r="I1065" s="255"/>
      <c r="J1065" s="255"/>
      <c r="K1065" s="255"/>
      <c r="L1065" s="468"/>
      <c r="M1065" s="468"/>
      <c r="N1065" s="472"/>
      <c r="O1065" s="472"/>
      <c r="P1065" s="473"/>
      <c r="Q1065" s="473"/>
      <c r="R1065" s="473"/>
      <c r="S1065" s="473"/>
      <c r="T1065" s="473"/>
    </row>
    <row r="1066" spans="1:31" ht="15" customHeight="1">
      <c r="A1066" s="255"/>
      <c r="B1066" s="255"/>
      <c r="C1066" s="255"/>
      <c r="D1066" s="255"/>
      <c r="E1066" s="255"/>
      <c r="F1066" s="255"/>
      <c r="G1066" s="255"/>
      <c r="H1066" s="255"/>
      <c r="I1066" s="255"/>
      <c r="J1066" s="255"/>
      <c r="K1066" s="255"/>
      <c r="L1066" s="318"/>
      <c r="M1066" s="318"/>
      <c r="N1066" s="466"/>
      <c r="O1066" s="466"/>
      <c r="P1066" s="467"/>
      <c r="Q1066" s="467"/>
      <c r="R1066" s="467"/>
      <c r="S1066" s="467"/>
      <c r="T1066" s="467"/>
    </row>
    <row r="1067" spans="1:31" ht="24" customHeight="1">
      <c r="A1067" s="430" t="s">
        <v>1224</v>
      </c>
      <c r="B1067" s="255"/>
      <c r="C1067" s="255"/>
      <c r="D1067" s="430" t="s">
        <v>1213</v>
      </c>
      <c r="E1067" s="255"/>
      <c r="F1067" s="255"/>
      <c r="G1067" s="255"/>
      <c r="H1067" s="255"/>
      <c r="I1067" s="255"/>
      <c r="J1067" s="255"/>
      <c r="K1067" s="255"/>
      <c r="L1067" s="264">
        <v>39980</v>
      </c>
      <c r="M1067" s="264">
        <v>52811</v>
      </c>
      <c r="N1067" s="189">
        <v>65000</v>
      </c>
      <c r="O1067" s="189">
        <v>60027</v>
      </c>
      <c r="P1067" s="188">
        <v>65000</v>
      </c>
      <c r="Q1067" s="188">
        <v>70000</v>
      </c>
      <c r="R1067" s="188">
        <v>70000</v>
      </c>
      <c r="S1067" s="188">
        <v>75000</v>
      </c>
      <c r="T1067" s="188">
        <v>75000</v>
      </c>
      <c r="V1067" s="487"/>
      <c r="W1067" s="487"/>
    </row>
    <row r="1068" spans="1:31" ht="24" customHeight="1">
      <c r="A1068" s="449" t="s">
        <v>1241</v>
      </c>
      <c r="B1068" s="449"/>
      <c r="C1068" s="449"/>
      <c r="D1068" s="449" t="s">
        <v>1240</v>
      </c>
      <c r="E1068" s="449"/>
      <c r="F1068" s="449"/>
      <c r="G1068" s="449"/>
      <c r="H1068" s="449"/>
      <c r="I1068" s="449"/>
      <c r="J1068" s="449"/>
      <c r="K1068" s="449"/>
      <c r="L1068" s="264">
        <v>0</v>
      </c>
      <c r="M1068" s="264">
        <v>9458</v>
      </c>
      <c r="N1068" s="189">
        <v>20000</v>
      </c>
      <c r="O1068" s="189">
        <v>0</v>
      </c>
      <c r="P1068" s="188">
        <v>0</v>
      </c>
      <c r="Q1068" s="188">
        <v>0</v>
      </c>
      <c r="R1068" s="188">
        <v>0</v>
      </c>
      <c r="S1068" s="188">
        <v>0</v>
      </c>
      <c r="T1068" s="188">
        <v>0</v>
      </c>
    </row>
    <row r="1069" spans="1:31" ht="24" customHeight="1">
      <c r="A1069" s="320" t="s">
        <v>747</v>
      </c>
      <c r="B1069" s="387"/>
      <c r="C1069" s="448"/>
      <c r="D1069" s="388" t="s">
        <v>6</v>
      </c>
      <c r="E1069" s="387"/>
      <c r="F1069" s="387"/>
      <c r="G1069" s="387"/>
      <c r="H1069" s="387"/>
      <c r="I1069" s="387"/>
      <c r="J1069" s="387"/>
      <c r="K1069" s="387"/>
      <c r="L1069" s="264">
        <v>428</v>
      </c>
      <c r="M1069" s="264">
        <v>53</v>
      </c>
      <c r="N1069" s="189">
        <v>75</v>
      </c>
      <c r="O1069" s="189">
        <v>50</v>
      </c>
      <c r="P1069" s="188">
        <v>50</v>
      </c>
      <c r="Q1069" s="188">
        <v>50</v>
      </c>
      <c r="R1069" s="188">
        <v>50</v>
      </c>
      <c r="S1069" s="188">
        <v>50</v>
      </c>
      <c r="T1069" s="188">
        <v>50</v>
      </c>
    </row>
    <row r="1070" spans="1:31" ht="24" customHeight="1">
      <c r="A1070" s="320" t="s">
        <v>1356</v>
      </c>
      <c r="B1070" s="520"/>
      <c r="C1070" s="520"/>
      <c r="D1070" s="521" t="s">
        <v>7</v>
      </c>
      <c r="E1070" s="520"/>
      <c r="F1070" s="520"/>
      <c r="G1070" s="520"/>
      <c r="H1070" s="520"/>
      <c r="I1070" s="520"/>
      <c r="J1070" s="520"/>
      <c r="K1070" s="520"/>
      <c r="L1070" s="264">
        <v>0</v>
      </c>
      <c r="M1070" s="264">
        <v>184</v>
      </c>
      <c r="N1070" s="189">
        <v>0</v>
      </c>
      <c r="O1070" s="189">
        <v>0</v>
      </c>
      <c r="P1070" s="188">
        <v>0</v>
      </c>
      <c r="Q1070" s="188">
        <v>0</v>
      </c>
      <c r="R1070" s="188">
        <v>0</v>
      </c>
      <c r="S1070" s="188">
        <v>0</v>
      </c>
      <c r="T1070" s="188">
        <v>0</v>
      </c>
    </row>
    <row r="1071" spans="1:31" ht="24" customHeight="1">
      <c r="A1071" s="320" t="s">
        <v>1211</v>
      </c>
      <c r="B1071" s="629"/>
      <c r="C1071" s="629"/>
      <c r="D1071" s="630" t="s">
        <v>1193</v>
      </c>
      <c r="E1071" s="629"/>
      <c r="F1071" s="629"/>
      <c r="G1071" s="629"/>
      <c r="H1071" s="629"/>
      <c r="I1071" s="629"/>
      <c r="J1071" s="629"/>
      <c r="K1071" s="629"/>
      <c r="L1071" s="279">
        <v>5000</v>
      </c>
      <c r="M1071" s="279">
        <v>8500</v>
      </c>
      <c r="N1071" s="214">
        <v>0</v>
      </c>
      <c r="O1071" s="214">
        <v>0</v>
      </c>
      <c r="P1071" s="213">
        <v>0</v>
      </c>
      <c r="Q1071" s="213">
        <v>0</v>
      </c>
      <c r="R1071" s="213">
        <v>0</v>
      </c>
      <c r="S1071" s="213">
        <v>0</v>
      </c>
      <c r="T1071" s="213">
        <v>0</v>
      </c>
    </row>
    <row r="1072" spans="1:31" ht="15" customHeight="1">
      <c r="A1072" s="255"/>
      <c r="B1072" s="255"/>
      <c r="C1072" s="255"/>
      <c r="D1072" s="255"/>
      <c r="E1072" s="255"/>
      <c r="F1072" s="255"/>
      <c r="G1072" s="255"/>
      <c r="H1072" s="255"/>
      <c r="I1072" s="255"/>
      <c r="J1072" s="255"/>
      <c r="K1072" s="255"/>
      <c r="L1072" s="271"/>
      <c r="M1072" s="271"/>
      <c r="N1072" s="204"/>
      <c r="O1072" s="204"/>
      <c r="P1072" s="203"/>
      <c r="Q1072" s="203"/>
      <c r="R1072" s="203"/>
      <c r="S1072" s="203"/>
      <c r="T1072" s="203"/>
    </row>
    <row r="1073" spans="1:23" s="255" customFormat="1" ht="24" customHeight="1">
      <c r="K1073" s="324" t="s">
        <v>595</v>
      </c>
      <c r="L1073" s="273">
        <f>SUM(L1067:L1072)</f>
        <v>45408</v>
      </c>
      <c r="M1073" s="273">
        <f t="shared" ref="M1073" si="298">SUM(M1067:M1072)</f>
        <v>71006</v>
      </c>
      <c r="N1073" s="274">
        <f t="shared" ref="N1073:O1073" si="299">SUM(N1067:N1072)</f>
        <v>85075</v>
      </c>
      <c r="O1073" s="274">
        <f t="shared" si="299"/>
        <v>60077</v>
      </c>
      <c r="P1073" s="273">
        <f t="shared" ref="P1073:Q1073" si="300">SUM(P1067:P1072)</f>
        <v>65050</v>
      </c>
      <c r="Q1073" s="273">
        <f t="shared" si="300"/>
        <v>70050</v>
      </c>
      <c r="R1073" s="273">
        <f>SUM(R1067:R1072)</f>
        <v>70050</v>
      </c>
      <c r="S1073" s="273">
        <f>SUM(S1067:S1072)</f>
        <v>75050</v>
      </c>
      <c r="T1073" s="273">
        <f>SUM(T1067:T1072)</f>
        <v>75050</v>
      </c>
      <c r="U1073" s="542"/>
    </row>
    <row r="1074" spans="1:23" ht="15" customHeight="1">
      <c r="A1074" s="255"/>
      <c r="B1074" s="255"/>
      <c r="C1074" s="255"/>
      <c r="D1074" s="255"/>
      <c r="E1074" s="255"/>
      <c r="F1074" s="255"/>
      <c r="G1074" s="255"/>
      <c r="H1074" s="255"/>
      <c r="I1074" s="255"/>
      <c r="J1074" s="255"/>
      <c r="K1074" s="255"/>
      <c r="L1074" s="271"/>
      <c r="M1074" s="271"/>
      <c r="N1074" s="204"/>
      <c r="O1074" s="204"/>
      <c r="P1074" s="203"/>
      <c r="Q1074" s="203"/>
      <c r="R1074" s="203"/>
      <c r="S1074" s="203"/>
      <c r="T1074" s="203"/>
    </row>
    <row r="1075" spans="1:23" ht="24" customHeight="1">
      <c r="A1075" s="320" t="s">
        <v>1121</v>
      </c>
      <c r="B1075" s="520"/>
      <c r="C1075" s="520"/>
      <c r="D1075" s="320" t="s">
        <v>1120</v>
      </c>
      <c r="E1075" s="634"/>
      <c r="F1075" s="634"/>
      <c r="G1075" s="634"/>
      <c r="H1075" s="634"/>
      <c r="I1075" s="634"/>
      <c r="J1075" s="634"/>
      <c r="K1075" s="521"/>
      <c r="L1075" s="262">
        <v>0</v>
      </c>
      <c r="M1075" s="262">
        <v>12315</v>
      </c>
      <c r="N1075" s="186">
        <v>0</v>
      </c>
      <c r="O1075" s="186">
        <v>12400</v>
      </c>
      <c r="P1075" s="185">
        <v>12500</v>
      </c>
      <c r="Q1075" s="185">
        <v>12500</v>
      </c>
      <c r="R1075" s="185">
        <v>12600</v>
      </c>
      <c r="S1075" s="185">
        <v>12600</v>
      </c>
      <c r="T1075" s="185">
        <v>12700</v>
      </c>
      <c r="V1075" s="190"/>
    </row>
    <row r="1076" spans="1:23" ht="24" customHeight="1">
      <c r="A1076" s="320" t="s">
        <v>1445</v>
      </c>
      <c r="B1076" s="656"/>
      <c r="C1076" s="656"/>
      <c r="D1076" s="320" t="s">
        <v>10</v>
      </c>
      <c r="E1076" s="656"/>
      <c r="F1076" s="656"/>
      <c r="G1076" s="656"/>
      <c r="H1076" s="656"/>
      <c r="I1076" s="656"/>
      <c r="J1076" s="656"/>
      <c r="K1076" s="656"/>
      <c r="L1076" s="264">
        <v>3951</v>
      </c>
      <c r="M1076" s="264">
        <v>258</v>
      </c>
      <c r="N1076" s="189">
        <v>355</v>
      </c>
      <c r="O1076" s="189">
        <v>355</v>
      </c>
      <c r="P1076" s="188">
        <v>360</v>
      </c>
      <c r="Q1076" s="188">
        <v>365</v>
      </c>
      <c r="R1076" s="188">
        <v>375</v>
      </c>
      <c r="S1076" s="188">
        <v>375</v>
      </c>
      <c r="T1076" s="188">
        <v>375</v>
      </c>
      <c r="V1076" s="190"/>
    </row>
    <row r="1077" spans="1:23" ht="24" customHeight="1">
      <c r="A1077" s="320" t="s">
        <v>733</v>
      </c>
      <c r="B1077" s="656"/>
      <c r="C1077" s="656"/>
      <c r="D1077" s="320" t="s">
        <v>136</v>
      </c>
      <c r="E1077" s="656"/>
      <c r="F1077" s="656"/>
      <c r="G1077" s="656"/>
      <c r="H1077" s="656"/>
      <c r="I1077" s="656"/>
      <c r="J1077" s="656"/>
      <c r="K1077" s="656"/>
      <c r="L1077" s="265">
        <v>14440</v>
      </c>
      <c r="M1077" s="265">
        <v>4812</v>
      </c>
      <c r="N1077" s="195">
        <v>15000</v>
      </c>
      <c r="O1077" s="195">
        <v>15000</v>
      </c>
      <c r="P1077" s="192">
        <v>15000</v>
      </c>
      <c r="Q1077" s="192">
        <v>15000</v>
      </c>
      <c r="R1077" s="192">
        <v>15000</v>
      </c>
      <c r="S1077" s="192">
        <v>15000</v>
      </c>
      <c r="T1077" s="192">
        <v>15000</v>
      </c>
    </row>
    <row r="1078" spans="1:23" ht="24" customHeight="1">
      <c r="A1078" s="320" t="s">
        <v>1267</v>
      </c>
      <c r="B1078" s="656"/>
      <c r="C1078" s="656"/>
      <c r="D1078" s="320" t="s">
        <v>1132</v>
      </c>
      <c r="E1078" s="656"/>
      <c r="F1078" s="656"/>
      <c r="G1078" s="656"/>
      <c r="H1078" s="656"/>
      <c r="I1078" s="656"/>
      <c r="J1078" s="656"/>
      <c r="K1078" s="656"/>
      <c r="L1078" s="265">
        <f t="shared" ref="L1078" si="301">L1068</f>
        <v>0</v>
      </c>
      <c r="M1078" s="265">
        <v>9458</v>
      </c>
      <c r="N1078" s="267">
        <v>20000</v>
      </c>
      <c r="O1078" s="267">
        <v>0</v>
      </c>
      <c r="P1078" s="265">
        <f t="shared" ref="P1078:S1078" si="302">P1068</f>
        <v>0</v>
      </c>
      <c r="Q1078" s="265">
        <f t="shared" si="302"/>
        <v>0</v>
      </c>
      <c r="R1078" s="265">
        <f t="shared" si="302"/>
        <v>0</v>
      </c>
      <c r="S1078" s="265">
        <f t="shared" si="302"/>
        <v>0</v>
      </c>
      <c r="T1078" s="265">
        <f t="shared" ref="T1078" si="303">T1068</f>
        <v>0</v>
      </c>
    </row>
    <row r="1079" spans="1:23" ht="24" customHeight="1">
      <c r="A1079" s="320" t="s">
        <v>734</v>
      </c>
      <c r="B1079" s="321"/>
      <c r="C1079" s="321"/>
      <c r="D1079" s="320" t="s">
        <v>735</v>
      </c>
      <c r="E1079" s="321"/>
      <c r="F1079" s="321"/>
      <c r="G1079" s="321"/>
      <c r="H1079" s="321"/>
      <c r="I1079" s="321"/>
      <c r="J1079" s="321"/>
      <c r="K1079" s="321"/>
      <c r="L1079" s="265">
        <v>56367</v>
      </c>
      <c r="M1079" s="265">
        <v>9568</v>
      </c>
      <c r="N1079" s="195">
        <v>10000</v>
      </c>
      <c r="O1079" s="195">
        <v>10000</v>
      </c>
      <c r="P1079" s="192">
        <f>10000</f>
        <v>10000</v>
      </c>
      <c r="Q1079" s="192">
        <f>10000</f>
        <v>10000</v>
      </c>
      <c r="R1079" s="192">
        <f>10000</f>
        <v>10000</v>
      </c>
      <c r="S1079" s="192">
        <f>10000</f>
        <v>10000</v>
      </c>
      <c r="T1079" s="192">
        <f>10000</f>
        <v>10000</v>
      </c>
    </row>
    <row r="1080" spans="1:23" ht="24" customHeight="1">
      <c r="A1080" s="594" t="s">
        <v>1231</v>
      </c>
      <c r="B1080" s="323"/>
      <c r="C1080" s="323"/>
      <c r="D1080" s="322" t="s">
        <v>1275</v>
      </c>
      <c r="E1080" s="323"/>
      <c r="F1080" s="323"/>
      <c r="G1080" s="323"/>
      <c r="H1080" s="323"/>
      <c r="I1080" s="323"/>
      <c r="J1080" s="323"/>
      <c r="K1080" s="323"/>
      <c r="L1080" s="277">
        <v>0</v>
      </c>
      <c r="M1080" s="277">
        <v>0</v>
      </c>
      <c r="N1080" s="186">
        <v>0</v>
      </c>
      <c r="O1080" s="186">
        <v>0</v>
      </c>
      <c r="P1080" s="185">
        <f>277750+33000</f>
        <v>310750</v>
      </c>
      <c r="Q1080" s="185">
        <v>0</v>
      </c>
      <c r="R1080" s="185">
        <v>0</v>
      </c>
      <c r="S1080" s="185">
        <v>0</v>
      </c>
      <c r="T1080" s="185">
        <v>0</v>
      </c>
      <c r="V1080" s="187"/>
    </row>
    <row r="1081" spans="1:23" ht="24" customHeight="1">
      <c r="A1081" s="320" t="s">
        <v>594</v>
      </c>
      <c r="B1081" s="321"/>
      <c r="C1081" s="321"/>
      <c r="D1081" s="320" t="s">
        <v>301</v>
      </c>
      <c r="E1081" s="321"/>
      <c r="F1081" s="321"/>
      <c r="G1081" s="321"/>
      <c r="H1081" s="321"/>
      <c r="I1081" s="321"/>
      <c r="J1081" s="321"/>
      <c r="K1081" s="321"/>
      <c r="L1081" s="265">
        <v>11667</v>
      </c>
      <c r="M1081" s="265">
        <v>20000</v>
      </c>
      <c r="N1081" s="195">
        <v>7433</v>
      </c>
      <c r="O1081" s="189">
        <f>ROUND((618.36*12),0)</f>
        <v>7420</v>
      </c>
      <c r="P1081" s="188">
        <f t="shared" ref="P1081:T1081" si="304">ROUND((618.36*12),0)</f>
        <v>7420</v>
      </c>
      <c r="Q1081" s="188">
        <f t="shared" si="304"/>
        <v>7420</v>
      </c>
      <c r="R1081" s="188">
        <f t="shared" si="304"/>
        <v>7420</v>
      </c>
      <c r="S1081" s="188">
        <f t="shared" si="304"/>
        <v>7420</v>
      </c>
      <c r="T1081" s="188">
        <f t="shared" si="304"/>
        <v>7420</v>
      </c>
      <c r="U1081" s="397"/>
      <c r="V1081" s="227"/>
      <c r="W1081" s="227"/>
    </row>
    <row r="1082" spans="1:23" ht="24" customHeight="1">
      <c r="A1082" s="320" t="s">
        <v>1432</v>
      </c>
      <c r="B1082" s="629"/>
      <c r="C1082" s="629"/>
      <c r="D1082" s="320" t="s">
        <v>1435</v>
      </c>
      <c r="E1082" s="629"/>
      <c r="F1082" s="629"/>
      <c r="G1082" s="629"/>
      <c r="H1082" s="629"/>
      <c r="I1082" s="629"/>
      <c r="J1082" s="629"/>
      <c r="K1082" s="629"/>
      <c r="L1082" s="270">
        <v>0</v>
      </c>
      <c r="M1082" s="270">
        <v>0</v>
      </c>
      <c r="N1082" s="202">
        <v>0</v>
      </c>
      <c r="O1082" s="202">
        <f>5000+8500</f>
        <v>13500</v>
      </c>
      <c r="P1082" s="200">
        <v>0</v>
      </c>
      <c r="Q1082" s="200">
        <v>0</v>
      </c>
      <c r="R1082" s="200">
        <v>0</v>
      </c>
      <c r="S1082" s="200">
        <v>0</v>
      </c>
      <c r="T1082" s="200">
        <v>0</v>
      </c>
      <c r="U1082" s="397"/>
      <c r="V1082" s="227"/>
      <c r="W1082" s="227"/>
    </row>
    <row r="1083" spans="1:23" ht="15" customHeight="1">
      <c r="A1083" s="255"/>
      <c r="B1083" s="255"/>
      <c r="C1083" s="255"/>
      <c r="D1083" s="255"/>
      <c r="E1083" s="255"/>
      <c r="F1083" s="255"/>
      <c r="G1083" s="255"/>
      <c r="H1083" s="255"/>
      <c r="I1083" s="255"/>
      <c r="J1083" s="255"/>
      <c r="K1083" s="255"/>
      <c r="L1083" s="271"/>
      <c r="M1083" s="271"/>
      <c r="N1083" s="204"/>
      <c r="O1083" s="204"/>
      <c r="P1083" s="203"/>
      <c r="Q1083" s="203"/>
      <c r="R1083" s="203"/>
      <c r="S1083" s="203"/>
      <c r="T1083" s="203"/>
    </row>
    <row r="1084" spans="1:23" s="255" customFormat="1" ht="24" customHeight="1">
      <c r="K1084" s="324" t="s">
        <v>598</v>
      </c>
      <c r="L1084" s="273">
        <f t="shared" ref="L1084:T1084" si="305">SUM(L1075:L1083)</f>
        <v>86425</v>
      </c>
      <c r="M1084" s="273">
        <f t="shared" si="305"/>
        <v>56411</v>
      </c>
      <c r="N1084" s="274">
        <f t="shared" si="305"/>
        <v>52788</v>
      </c>
      <c r="O1084" s="274">
        <f t="shared" si="305"/>
        <v>58675</v>
      </c>
      <c r="P1084" s="273">
        <f t="shared" si="305"/>
        <v>356030</v>
      </c>
      <c r="Q1084" s="273">
        <f t="shared" si="305"/>
        <v>45285</v>
      </c>
      <c r="R1084" s="273">
        <f t="shared" si="305"/>
        <v>45395</v>
      </c>
      <c r="S1084" s="273">
        <f t="shared" si="305"/>
        <v>45395</v>
      </c>
      <c r="T1084" s="273">
        <f t="shared" si="305"/>
        <v>45495</v>
      </c>
      <c r="U1084" s="542"/>
    </row>
    <row r="1085" spans="1:23" s="255" customFormat="1" ht="15" customHeight="1">
      <c r="L1085" s="271"/>
      <c r="M1085" s="271"/>
      <c r="N1085" s="272"/>
      <c r="O1085" s="272"/>
      <c r="P1085" s="271"/>
      <c r="Q1085" s="271"/>
      <c r="R1085" s="271"/>
      <c r="S1085" s="271"/>
      <c r="T1085" s="271"/>
      <c r="U1085" s="542"/>
    </row>
    <row r="1086" spans="1:23" s="255" customFormat="1" ht="24" customHeight="1">
      <c r="K1086" s="324" t="s">
        <v>599</v>
      </c>
      <c r="L1086" s="290">
        <f t="shared" ref="L1086:T1086" si="306">L1073-L1084</f>
        <v>-41017</v>
      </c>
      <c r="M1086" s="290">
        <f t="shared" si="306"/>
        <v>14595</v>
      </c>
      <c r="N1086" s="291">
        <f t="shared" si="306"/>
        <v>32287</v>
      </c>
      <c r="O1086" s="291">
        <f t="shared" si="306"/>
        <v>1402</v>
      </c>
      <c r="P1086" s="290">
        <f t="shared" si="306"/>
        <v>-290980</v>
      </c>
      <c r="Q1086" s="290">
        <f t="shared" si="306"/>
        <v>24765</v>
      </c>
      <c r="R1086" s="290">
        <f t="shared" si="306"/>
        <v>24655</v>
      </c>
      <c r="S1086" s="290">
        <f t="shared" si="306"/>
        <v>29655</v>
      </c>
      <c r="T1086" s="290">
        <f t="shared" si="306"/>
        <v>29555</v>
      </c>
      <c r="U1086" s="542"/>
    </row>
    <row r="1087" spans="1:23" s="255" customFormat="1" ht="15" customHeight="1">
      <c r="L1087" s="290"/>
      <c r="M1087" s="290"/>
      <c r="N1087" s="291"/>
      <c r="O1087" s="291"/>
      <c r="P1087" s="290"/>
      <c r="Q1087" s="290"/>
      <c r="R1087" s="290"/>
      <c r="S1087" s="290"/>
      <c r="T1087" s="290"/>
      <c r="U1087" s="542"/>
    </row>
    <row r="1088" spans="1:23" s="255" customFormat="1" ht="24" customHeight="1">
      <c r="K1088" s="329" t="s">
        <v>601</v>
      </c>
      <c r="L1088" s="290">
        <v>216937</v>
      </c>
      <c r="M1088" s="290">
        <v>231529</v>
      </c>
      <c r="N1088" s="291">
        <v>265260</v>
      </c>
      <c r="O1088" s="291">
        <f>M1088+O1086</f>
        <v>232931</v>
      </c>
      <c r="P1088" s="290">
        <f>O1088+P1086</f>
        <v>-58049</v>
      </c>
      <c r="Q1088" s="290">
        <f>P1088+Q1086</f>
        <v>-33284</v>
      </c>
      <c r="R1088" s="290">
        <f>Q1088+R1086</f>
        <v>-8629</v>
      </c>
      <c r="S1088" s="290">
        <f>R1088+S1086</f>
        <v>21026</v>
      </c>
      <c r="T1088" s="290">
        <f>S1088+T1086</f>
        <v>50581</v>
      </c>
      <c r="U1088" s="542"/>
    </row>
    <row r="1089" spans="1:21" s="375" customFormat="1" ht="24" customHeight="1">
      <c r="K1089" s="329"/>
      <c r="L1089" s="290"/>
      <c r="M1089" s="290"/>
      <c r="N1089" s="291"/>
      <c r="O1089" s="291"/>
      <c r="P1089" s="290"/>
      <c r="Q1089" s="290"/>
      <c r="R1089" s="290"/>
      <c r="S1089" s="290"/>
      <c r="T1089" s="290"/>
      <c r="U1089" s="542"/>
    </row>
    <row r="1090" spans="1:21" ht="15" customHeight="1">
      <c r="A1090" s="376"/>
      <c r="B1090" s="376"/>
      <c r="C1090" s="376"/>
      <c r="D1090" s="376"/>
      <c r="E1090" s="376"/>
      <c r="F1090" s="376"/>
      <c r="G1090" s="376"/>
      <c r="H1090" s="376"/>
      <c r="I1090" s="376"/>
      <c r="J1090" s="376"/>
      <c r="K1090" s="376"/>
      <c r="L1090" s="271"/>
      <c r="M1090" s="271"/>
      <c r="N1090" s="272"/>
      <c r="O1090" s="272"/>
      <c r="P1090" s="203"/>
      <c r="Q1090" s="203"/>
      <c r="R1090" s="203"/>
      <c r="S1090" s="203"/>
      <c r="T1090" s="203"/>
    </row>
    <row r="1091" spans="1:21" s="379" customFormat="1" ht="20.100000000000001" customHeight="1">
      <c r="A1091" s="755" t="s">
        <v>752</v>
      </c>
      <c r="B1091" s="755"/>
      <c r="C1091" s="755"/>
      <c r="D1091" s="755"/>
      <c r="E1091" s="755"/>
      <c r="F1091" s="755"/>
      <c r="G1091" s="755"/>
      <c r="H1091" s="755"/>
      <c r="I1091" s="755"/>
      <c r="J1091" s="755"/>
      <c r="L1091" s="381"/>
      <c r="M1091" s="381"/>
      <c r="N1091" s="381"/>
      <c r="O1091" s="381"/>
      <c r="P1091" s="381"/>
      <c r="Q1091" s="381"/>
      <c r="R1091" s="381"/>
      <c r="S1091" s="381"/>
      <c r="T1091" s="381"/>
      <c r="U1091" s="541"/>
    </row>
    <row r="1092" spans="1:21" s="434" customFormat="1" ht="24" customHeight="1">
      <c r="K1092" s="435" t="s">
        <v>675</v>
      </c>
      <c r="L1092" s="436"/>
      <c r="M1092" s="436"/>
      <c r="N1092" s="437"/>
      <c r="O1092" s="437"/>
      <c r="P1092" s="436"/>
      <c r="Q1092" s="436"/>
      <c r="R1092" s="436"/>
      <c r="S1092" s="436"/>
      <c r="T1092" s="436"/>
      <c r="U1092" s="438"/>
    </row>
    <row r="1093" spans="1:21" s="255" customFormat="1" ht="24" customHeight="1">
      <c r="J1093" s="762" t="s">
        <v>1111</v>
      </c>
      <c r="K1093" s="255" t="s">
        <v>676</v>
      </c>
      <c r="L1093" s="285">
        <f t="shared" ref="L1093" si="307">L278</f>
        <v>2953193</v>
      </c>
      <c r="M1093" s="285">
        <f t="shared" ref="M1093:T1093" si="308">M278</f>
        <v>-363247</v>
      </c>
      <c r="N1093" s="272">
        <f t="shared" si="308"/>
        <v>156513</v>
      </c>
      <c r="O1093" s="272">
        <f t="shared" ref="O1093" si="309">O278</f>
        <v>240024</v>
      </c>
      <c r="P1093" s="271">
        <f>P278</f>
        <v>10002</v>
      </c>
      <c r="Q1093" s="271">
        <f t="shared" ref="Q1093:S1093" si="310">Q278</f>
        <v>-521902</v>
      </c>
      <c r="R1093" s="271">
        <f t="shared" si="310"/>
        <v>-904844</v>
      </c>
      <c r="S1093" s="271">
        <f t="shared" si="310"/>
        <v>-1255986</v>
      </c>
      <c r="T1093" s="271">
        <f t="shared" si="308"/>
        <v>-1659171</v>
      </c>
      <c r="U1093" s="542"/>
    </row>
    <row r="1094" spans="1:21" s="255" customFormat="1" ht="24" customHeight="1">
      <c r="J1094" s="762"/>
      <c r="K1094" s="255" t="s">
        <v>677</v>
      </c>
      <c r="L1094" s="285">
        <f t="shared" ref="L1094" si="311">L297</f>
        <v>-1947</v>
      </c>
      <c r="M1094" s="285">
        <f t="shared" ref="M1094:T1094" si="312">M297</f>
        <v>-3989</v>
      </c>
      <c r="N1094" s="272">
        <f t="shared" si="312"/>
        <v>-11067</v>
      </c>
      <c r="O1094" s="272">
        <f t="shared" ref="O1094" si="313">O297</f>
        <v>3933</v>
      </c>
      <c r="P1094" s="271">
        <f t="shared" ref="P1094:S1094" si="314">P297</f>
        <v>-22760</v>
      </c>
      <c r="Q1094" s="271">
        <f t="shared" si="314"/>
        <v>1998</v>
      </c>
      <c r="R1094" s="271">
        <f t="shared" si="314"/>
        <v>1744</v>
      </c>
      <c r="S1094" s="271">
        <f t="shared" si="314"/>
        <v>1478</v>
      </c>
      <c r="T1094" s="271">
        <f t="shared" si="312"/>
        <v>1198</v>
      </c>
      <c r="U1094" s="542"/>
    </row>
    <row r="1095" spans="1:21" s="255" customFormat="1" ht="24" customHeight="1">
      <c r="J1095" s="762"/>
      <c r="K1095" s="255" t="s">
        <v>678</v>
      </c>
      <c r="L1095" s="285">
        <f t="shared" ref="L1095" si="315">L314</f>
        <v>-4448</v>
      </c>
      <c r="M1095" s="285">
        <f t="shared" ref="M1095:T1095" si="316">M314</f>
        <v>-5166</v>
      </c>
      <c r="N1095" s="272">
        <f t="shared" si="316"/>
        <v>-18569</v>
      </c>
      <c r="O1095" s="272">
        <f t="shared" ref="O1095" si="317">O314</f>
        <v>-33568</v>
      </c>
      <c r="P1095" s="271">
        <f t="shared" ref="P1095:S1095" si="318">P314</f>
        <v>-18986</v>
      </c>
      <c r="Q1095" s="271">
        <f t="shared" si="318"/>
        <v>8281</v>
      </c>
      <c r="R1095" s="271">
        <f t="shared" si="318"/>
        <v>7675</v>
      </c>
      <c r="S1095" s="271">
        <f t="shared" si="318"/>
        <v>7039</v>
      </c>
      <c r="T1095" s="271">
        <f t="shared" si="316"/>
        <v>6371</v>
      </c>
      <c r="U1095" s="542"/>
    </row>
    <row r="1096" spans="1:21" s="255" customFormat="1" ht="24" customHeight="1">
      <c r="J1096" s="762"/>
      <c r="K1096" s="255" t="s">
        <v>815</v>
      </c>
      <c r="L1096" s="285">
        <f t="shared" ref="L1096" si="319">L353</f>
        <v>237647</v>
      </c>
      <c r="M1096" s="285">
        <f t="shared" ref="M1096:T1096" si="320">M353</f>
        <v>-132052</v>
      </c>
      <c r="N1096" s="272">
        <f t="shared" si="320"/>
        <v>-380499</v>
      </c>
      <c r="O1096" s="272">
        <f t="shared" ref="O1096" si="321">O353</f>
        <v>-53303</v>
      </c>
      <c r="P1096" s="271">
        <f t="shared" ref="P1096:S1096" si="322">P353</f>
        <v>-387497</v>
      </c>
      <c r="Q1096" s="271">
        <f t="shared" si="322"/>
        <v>-246580</v>
      </c>
      <c r="R1096" s="271">
        <f t="shared" si="322"/>
        <v>-153558</v>
      </c>
      <c r="S1096" s="271">
        <f t="shared" si="322"/>
        <v>-153454</v>
      </c>
      <c r="T1096" s="271">
        <f t="shared" si="320"/>
        <v>-36064</v>
      </c>
      <c r="U1096" s="542"/>
    </row>
    <row r="1097" spans="1:21" s="255" customFormat="1" ht="24" customHeight="1">
      <c r="J1097" s="762"/>
      <c r="K1097" s="255" t="s">
        <v>816</v>
      </c>
      <c r="L1097" s="285">
        <f t="shared" ref="L1097" si="323">L369</f>
        <v>7759</v>
      </c>
      <c r="M1097" s="285">
        <f t="shared" ref="M1097:T1097" si="324">M369</f>
        <v>571615</v>
      </c>
      <c r="N1097" s="272">
        <f t="shared" si="324"/>
        <v>0</v>
      </c>
      <c r="O1097" s="272">
        <f t="shared" ref="O1097" si="325">O369</f>
        <v>0</v>
      </c>
      <c r="P1097" s="271">
        <f t="shared" ref="P1097:S1097" si="326">P369</f>
        <v>0</v>
      </c>
      <c r="Q1097" s="271">
        <f t="shared" si="326"/>
        <v>0</v>
      </c>
      <c r="R1097" s="271">
        <f t="shared" si="326"/>
        <v>0</v>
      </c>
      <c r="S1097" s="271">
        <f t="shared" si="326"/>
        <v>0</v>
      </c>
      <c r="T1097" s="271">
        <f t="shared" si="324"/>
        <v>0</v>
      </c>
      <c r="U1097" s="542"/>
    </row>
    <row r="1098" spans="1:21" s="687" customFormat="1" ht="24" customHeight="1">
      <c r="J1098" s="762"/>
      <c r="K1098" s="255" t="s">
        <v>818</v>
      </c>
      <c r="L1098" s="285">
        <f t="shared" ref="L1098:T1098" si="327">L440</f>
        <v>247529</v>
      </c>
      <c r="M1098" s="285">
        <f t="shared" si="327"/>
        <v>347829</v>
      </c>
      <c r="N1098" s="272">
        <f t="shared" si="327"/>
        <v>3970568</v>
      </c>
      <c r="O1098" s="272">
        <f t="shared" si="327"/>
        <v>4297523</v>
      </c>
      <c r="P1098" s="271">
        <f t="shared" si="327"/>
        <v>-4142882</v>
      </c>
      <c r="Q1098" s="271">
        <f t="shared" si="327"/>
        <v>-290582</v>
      </c>
      <c r="R1098" s="271">
        <f t="shared" si="327"/>
        <v>-540614</v>
      </c>
      <c r="S1098" s="271">
        <f t="shared" si="327"/>
        <v>0</v>
      </c>
      <c r="T1098" s="271">
        <f t="shared" si="327"/>
        <v>0</v>
      </c>
      <c r="U1098" s="688"/>
    </row>
    <row r="1099" spans="1:21" s="255" customFormat="1" ht="24" customHeight="1">
      <c r="J1099" s="762"/>
      <c r="K1099" s="255" t="s">
        <v>1038</v>
      </c>
      <c r="L1099" s="285">
        <f t="shared" ref="L1099:T1099" si="328">(L450+L452+L453+L454+L451+L456+L457+L470+L458+L459+L463+L464+L469+L468+L471+L460+L461+L467-L481-L493)</f>
        <v>-163036</v>
      </c>
      <c r="M1099" s="285">
        <f t="shared" si="328"/>
        <v>-14612</v>
      </c>
      <c r="N1099" s="286">
        <f t="shared" si="328"/>
        <v>-94805</v>
      </c>
      <c r="O1099" s="286">
        <f t="shared" si="328"/>
        <v>-97504</v>
      </c>
      <c r="P1099" s="285">
        <f t="shared" si="328"/>
        <v>-16169</v>
      </c>
      <c r="Q1099" s="285">
        <f t="shared" si="328"/>
        <v>0</v>
      </c>
      <c r="R1099" s="285">
        <f t="shared" si="328"/>
        <v>0</v>
      </c>
      <c r="S1099" s="285">
        <f t="shared" si="328"/>
        <v>0</v>
      </c>
      <c r="T1099" s="285">
        <f t="shared" si="328"/>
        <v>0</v>
      </c>
      <c r="U1099" s="542"/>
    </row>
    <row r="1100" spans="1:21" s="255" customFormat="1" ht="24" customHeight="1">
      <c r="J1100" s="762"/>
      <c r="K1100" s="255" t="s">
        <v>772</v>
      </c>
      <c r="L1100" s="271">
        <f t="shared" ref="L1100" si="329">L553</f>
        <v>-75465</v>
      </c>
      <c r="M1100" s="271">
        <f t="shared" ref="M1100:T1100" si="330">M553</f>
        <v>-6728</v>
      </c>
      <c r="N1100" s="272">
        <f t="shared" si="330"/>
        <v>1825</v>
      </c>
      <c r="O1100" s="272">
        <f t="shared" ref="O1100" si="331">O553</f>
        <v>3326</v>
      </c>
      <c r="P1100" s="271">
        <f t="shared" ref="P1100:S1100" si="332">P553</f>
        <v>-8645</v>
      </c>
      <c r="Q1100" s="271">
        <f t="shared" si="332"/>
        <v>0</v>
      </c>
      <c r="R1100" s="271">
        <f t="shared" si="332"/>
        <v>0</v>
      </c>
      <c r="S1100" s="271">
        <f t="shared" si="332"/>
        <v>0</v>
      </c>
      <c r="T1100" s="271">
        <f t="shared" si="330"/>
        <v>0</v>
      </c>
      <c r="U1100" s="542"/>
    </row>
    <row r="1101" spans="1:21" s="255" customFormat="1" ht="24" customHeight="1">
      <c r="J1101" s="762"/>
      <c r="K1101" s="255" t="s">
        <v>679</v>
      </c>
      <c r="L1101" s="285">
        <f t="shared" ref="L1101" si="333">L657</f>
        <v>225840</v>
      </c>
      <c r="M1101" s="285">
        <f t="shared" ref="M1101:T1101" si="334">M657</f>
        <v>-175756</v>
      </c>
      <c r="N1101" s="272">
        <f t="shared" si="334"/>
        <v>-254555</v>
      </c>
      <c r="O1101" s="272">
        <f t="shared" ref="O1101" si="335">O657</f>
        <v>-516720</v>
      </c>
      <c r="P1101" s="271">
        <f t="shared" ref="P1101:S1101" si="336">P657</f>
        <v>-276196</v>
      </c>
      <c r="Q1101" s="271">
        <f t="shared" si="336"/>
        <v>281886</v>
      </c>
      <c r="R1101" s="271">
        <f t="shared" si="336"/>
        <v>-171192</v>
      </c>
      <c r="S1101" s="271">
        <f t="shared" si="336"/>
        <v>-381175</v>
      </c>
      <c r="T1101" s="271">
        <f t="shared" si="334"/>
        <v>-537100</v>
      </c>
      <c r="U1101" s="542"/>
    </row>
    <row r="1102" spans="1:21" s="255" customFormat="1" ht="24" customHeight="1">
      <c r="J1102" s="762"/>
      <c r="K1102" s="255" t="s">
        <v>680</v>
      </c>
      <c r="L1102" s="285">
        <f t="shared" ref="L1102" si="337">L744</f>
        <v>-10205</v>
      </c>
      <c r="M1102" s="285">
        <f t="shared" ref="M1102:T1102" si="338">M744</f>
        <v>-114164</v>
      </c>
      <c r="N1102" s="272">
        <f t="shared" si="338"/>
        <v>-831754</v>
      </c>
      <c r="O1102" s="272">
        <f t="shared" ref="O1102" si="339">O744</f>
        <v>-1085544</v>
      </c>
      <c r="P1102" s="271">
        <f t="shared" ref="P1102:S1102" si="340">P744</f>
        <v>-424733</v>
      </c>
      <c r="Q1102" s="271">
        <f t="shared" si="340"/>
        <v>-422549</v>
      </c>
      <c r="R1102" s="271">
        <f t="shared" si="340"/>
        <v>-429096</v>
      </c>
      <c r="S1102" s="271">
        <f t="shared" si="340"/>
        <v>-439681</v>
      </c>
      <c r="T1102" s="271">
        <f t="shared" si="338"/>
        <v>100676</v>
      </c>
      <c r="U1102" s="542"/>
    </row>
    <row r="1103" spans="1:21" s="255" customFormat="1" ht="24" customHeight="1">
      <c r="J1103" s="762"/>
      <c r="K1103" s="255" t="s">
        <v>681</v>
      </c>
      <c r="L1103" s="285">
        <f t="shared" ref="L1103" si="341">L783</f>
        <v>416198</v>
      </c>
      <c r="M1103" s="285">
        <f t="shared" ref="M1103:T1103" si="342">M783</f>
        <v>66565</v>
      </c>
      <c r="N1103" s="272">
        <f t="shared" si="342"/>
        <v>-333850</v>
      </c>
      <c r="O1103" s="272">
        <f t="shared" ref="O1103" si="343">O783</f>
        <v>-222819</v>
      </c>
      <c r="P1103" s="271">
        <f t="shared" ref="P1103:S1103" si="344">P783</f>
        <v>-150332</v>
      </c>
      <c r="Q1103" s="271">
        <f t="shared" si="344"/>
        <v>330500</v>
      </c>
      <c r="R1103" s="271">
        <f t="shared" si="344"/>
        <v>30500</v>
      </c>
      <c r="S1103" s="271">
        <f t="shared" si="344"/>
        <v>30500</v>
      </c>
      <c r="T1103" s="271">
        <f t="shared" si="342"/>
        <v>30500</v>
      </c>
      <c r="U1103" s="542"/>
    </row>
    <row r="1104" spans="1:21" s="255" customFormat="1" ht="24" customHeight="1">
      <c r="J1104" s="342"/>
      <c r="K1104" s="255" t="s">
        <v>588</v>
      </c>
      <c r="L1104" s="285">
        <f>L1061</f>
        <v>-305538</v>
      </c>
      <c r="M1104" s="285">
        <f>M1061</f>
        <v>-2106423</v>
      </c>
      <c r="N1104" s="272">
        <f t="shared" ref="N1104:O1104" si="345">N1061</f>
        <v>-71398</v>
      </c>
      <c r="O1104" s="272">
        <f t="shared" si="345"/>
        <v>-64301</v>
      </c>
      <c r="P1104" s="271">
        <f t="shared" ref="P1104:R1104" si="346">P1061</f>
        <v>3429</v>
      </c>
      <c r="Q1104" s="271">
        <f t="shared" si="346"/>
        <v>-21928</v>
      </c>
      <c r="R1104" s="271">
        <f t="shared" si="346"/>
        <v>-21928</v>
      </c>
      <c r="S1104" s="271">
        <f>S1061</f>
        <v>-21928</v>
      </c>
      <c r="T1104" s="271">
        <f>T1061</f>
        <v>-256928</v>
      </c>
      <c r="U1104" s="542"/>
    </row>
    <row r="1105" spans="10:29" s="255" customFormat="1" ht="24" customHeight="1">
      <c r="J1105" s="342"/>
      <c r="K1105" s="255" t="s">
        <v>593</v>
      </c>
      <c r="L1105" s="303">
        <f>L1086</f>
        <v>-41017</v>
      </c>
      <c r="M1105" s="303">
        <f>M1086</f>
        <v>14595</v>
      </c>
      <c r="N1105" s="306">
        <f t="shared" ref="N1105:O1105" si="347">N1086</f>
        <v>32287</v>
      </c>
      <c r="O1105" s="306">
        <f t="shared" si="347"/>
        <v>1402</v>
      </c>
      <c r="P1105" s="307">
        <f t="shared" ref="P1105:R1105" si="348">P1086</f>
        <v>-290980</v>
      </c>
      <c r="Q1105" s="307">
        <f t="shared" si="348"/>
        <v>24765</v>
      </c>
      <c r="R1105" s="307">
        <f t="shared" si="348"/>
        <v>24655</v>
      </c>
      <c r="S1105" s="307">
        <f>S1086</f>
        <v>29655</v>
      </c>
      <c r="T1105" s="307">
        <f>T1086</f>
        <v>29555</v>
      </c>
      <c r="U1105" s="542"/>
    </row>
    <row r="1106" spans="10:29" s="255" customFormat="1" ht="24" customHeight="1">
      <c r="L1106" s="285"/>
      <c r="M1106" s="285"/>
      <c r="N1106" s="272"/>
      <c r="O1106" s="272"/>
      <c r="P1106" s="271"/>
      <c r="Q1106" s="271"/>
      <c r="R1106" s="271"/>
      <c r="S1106" s="271"/>
      <c r="T1106" s="271"/>
      <c r="U1106" s="542"/>
    </row>
    <row r="1107" spans="10:29" s="324" customFormat="1" ht="24" customHeight="1">
      <c r="L1107" s="290">
        <f>SUM(L1093:L1106)</f>
        <v>3486510</v>
      </c>
      <c r="M1107" s="290">
        <f>SUM(M1093:M1106)</f>
        <v>-1921533</v>
      </c>
      <c r="N1107" s="274">
        <f>SUM(N1093:N1106)</f>
        <v>2164696</v>
      </c>
      <c r="O1107" s="274">
        <f>SUM(O1093:O1106)</f>
        <v>2472449</v>
      </c>
      <c r="P1107" s="273">
        <f>SUM(P1093:P1106)</f>
        <v>-5725749</v>
      </c>
      <c r="Q1107" s="273">
        <f t="shared" ref="Q1107:R1107" si="349">SUM(Q1093:Q1106)</f>
        <v>-856111</v>
      </c>
      <c r="R1107" s="273">
        <f t="shared" si="349"/>
        <v>-2156658</v>
      </c>
      <c r="S1107" s="273">
        <f>SUM(S1093:S1106)</f>
        <v>-2183552</v>
      </c>
      <c r="T1107" s="273">
        <f>SUM(T1093:T1106)</f>
        <v>-2320963</v>
      </c>
      <c r="U1107" s="542"/>
    </row>
    <row r="1108" spans="10:29" s="379" customFormat="1" ht="24" hidden="1" customHeight="1">
      <c r="L1108" s="382">
        <f t="shared" ref="L1108:T1108" si="350">L278+L297+L314+L353+L369+L440+L553+L657+L744+L783+L1061+L1086+(L450+L452+L453+L454+L451+L456+L457+L458+L459+L463+L464+L470+L469+L468+L471+L460+L461+L467-L481-L493)</f>
        <v>3486510</v>
      </c>
      <c r="M1108" s="382">
        <f t="shared" si="350"/>
        <v>-1921533</v>
      </c>
      <c r="N1108" s="382">
        <f t="shared" si="350"/>
        <v>2164696</v>
      </c>
      <c r="O1108" s="382">
        <f t="shared" si="350"/>
        <v>2472449</v>
      </c>
      <c r="P1108" s="382">
        <f t="shared" si="350"/>
        <v>-5725749</v>
      </c>
      <c r="Q1108" s="382">
        <f t="shared" si="350"/>
        <v>-856111</v>
      </c>
      <c r="R1108" s="382">
        <f t="shared" si="350"/>
        <v>-2156658</v>
      </c>
      <c r="S1108" s="382">
        <f t="shared" si="350"/>
        <v>-2183552</v>
      </c>
      <c r="T1108" s="382">
        <f t="shared" si="350"/>
        <v>-2320963</v>
      </c>
      <c r="U1108" s="541"/>
      <c r="V1108" s="744" t="s">
        <v>1128</v>
      </c>
    </row>
    <row r="1109" spans="10:29" s="379" customFormat="1" ht="24" hidden="1" customHeight="1">
      <c r="L1109" s="381">
        <f t="shared" ref="L1109" si="351">L1107-L1108</f>
        <v>0</v>
      </c>
      <c r="M1109" s="381">
        <f t="shared" ref="M1109:T1109" si="352">M1107-M1108</f>
        <v>0</v>
      </c>
      <c r="N1109" s="381">
        <f t="shared" si="352"/>
        <v>0</v>
      </c>
      <c r="O1109" s="381">
        <f t="shared" ref="O1109" si="353">O1107-O1108</f>
        <v>0</v>
      </c>
      <c r="P1109" s="381">
        <f t="shared" ref="P1109:S1109" si="354">P1107-P1108</f>
        <v>0</v>
      </c>
      <c r="Q1109" s="381">
        <f t="shared" si="354"/>
        <v>0</v>
      </c>
      <c r="R1109" s="381">
        <f t="shared" si="354"/>
        <v>0</v>
      </c>
      <c r="S1109" s="381">
        <f t="shared" si="354"/>
        <v>0</v>
      </c>
      <c r="T1109" s="381">
        <f t="shared" si="352"/>
        <v>0</v>
      </c>
      <c r="U1109" s="541"/>
      <c r="V1109" s="744"/>
    </row>
    <row r="1110" spans="10:29" s="255" customFormat="1" ht="24" customHeight="1">
      <c r="L1110" s="271"/>
      <c r="M1110" s="271"/>
      <c r="N1110" s="272"/>
      <c r="O1110" s="272"/>
      <c r="P1110" s="271"/>
      <c r="Q1110" s="271"/>
      <c r="R1110" s="271"/>
      <c r="S1110" s="271"/>
      <c r="T1110" s="271"/>
      <c r="U1110" s="542"/>
      <c r="V1110" s="743"/>
      <c r="W1110" s="743"/>
      <c r="X1110" s="743"/>
      <c r="Y1110" s="743"/>
      <c r="Z1110" s="743"/>
      <c r="AA1110" s="385"/>
      <c r="AB1110" s="697"/>
      <c r="AC1110" s="697"/>
    </row>
    <row r="1111" spans="10:29" s="439" customFormat="1" ht="24" customHeight="1">
      <c r="K1111" s="440" t="s">
        <v>964</v>
      </c>
      <c r="L1111" s="441"/>
      <c r="M1111" s="441"/>
      <c r="N1111" s="442"/>
      <c r="O1111" s="442"/>
      <c r="P1111" s="441"/>
      <c r="Q1111" s="441"/>
      <c r="R1111" s="441"/>
      <c r="S1111" s="441"/>
      <c r="T1111" s="441"/>
      <c r="U1111" s="443"/>
      <c r="V1111" s="716"/>
      <c r="W1111" s="716"/>
      <c r="X1111" s="716"/>
      <c r="Y1111" s="716"/>
      <c r="Z1111" s="716"/>
      <c r="AA1111" s="717"/>
    </row>
    <row r="1112" spans="10:29" s="255" customFormat="1" ht="24" customHeight="1">
      <c r="J1112" s="762" t="s">
        <v>1111</v>
      </c>
      <c r="K1112" s="255" t="s">
        <v>676</v>
      </c>
      <c r="L1112" s="285">
        <f t="shared" ref="L1112" si="355">L280</f>
        <v>4223820</v>
      </c>
      <c r="M1112" s="285">
        <f t="shared" ref="M1112:T1112" si="356">M280</f>
        <v>3860581</v>
      </c>
      <c r="N1112" s="272">
        <f t="shared" si="356"/>
        <v>3874053</v>
      </c>
      <c r="O1112" s="272">
        <f t="shared" ref="O1112" si="357">O280</f>
        <v>4100605</v>
      </c>
      <c r="P1112" s="271">
        <f t="shared" ref="P1112:S1112" si="358">P280</f>
        <v>4110607</v>
      </c>
      <c r="Q1112" s="271">
        <f t="shared" si="358"/>
        <v>3588705</v>
      </c>
      <c r="R1112" s="271">
        <f t="shared" si="358"/>
        <v>2683861</v>
      </c>
      <c r="S1112" s="271">
        <f t="shared" si="358"/>
        <v>1427875</v>
      </c>
      <c r="T1112" s="271">
        <f t="shared" si="356"/>
        <v>-231296</v>
      </c>
      <c r="U1112" s="542"/>
      <c r="V1112" s="516"/>
      <c r="W1112" s="516"/>
      <c r="X1112" s="516"/>
      <c r="Y1112" s="516"/>
      <c r="Z1112" s="591"/>
      <c r="AA1112" s="591"/>
      <c r="AB1112" s="324"/>
      <c r="AC1112" s="697"/>
    </row>
    <row r="1113" spans="10:29" s="255" customFormat="1" ht="24" customHeight="1">
      <c r="J1113" s="762"/>
      <c r="K1113" s="255" t="s">
        <v>677</v>
      </c>
      <c r="L1113" s="285">
        <f t="shared" ref="L1113" si="359">L299</f>
        <v>15124</v>
      </c>
      <c r="M1113" s="285">
        <f t="shared" ref="M1113:T1113" si="360">M299</f>
        <v>11134</v>
      </c>
      <c r="N1113" s="272">
        <f t="shared" si="360"/>
        <v>154</v>
      </c>
      <c r="O1113" s="272">
        <f t="shared" ref="O1113" si="361">O299</f>
        <v>15067</v>
      </c>
      <c r="P1113" s="271">
        <f t="shared" ref="P1113:S1113" si="362">P299</f>
        <v>-7693</v>
      </c>
      <c r="Q1113" s="271">
        <f t="shared" si="362"/>
        <v>-5695</v>
      </c>
      <c r="R1113" s="271">
        <f t="shared" si="362"/>
        <v>-3951</v>
      </c>
      <c r="S1113" s="271">
        <f t="shared" si="362"/>
        <v>-2473</v>
      </c>
      <c r="T1113" s="271">
        <f t="shared" si="360"/>
        <v>-1275</v>
      </c>
      <c r="U1113" s="542"/>
      <c r="V1113" s="516"/>
      <c r="W1113" s="516"/>
      <c r="X1113" s="516"/>
      <c r="Y1113" s="516"/>
      <c r="Z1113" s="591"/>
      <c r="AA1113" s="385"/>
      <c r="AB1113" s="697"/>
      <c r="AC1113" s="697"/>
    </row>
    <row r="1114" spans="10:29" s="255" customFormat="1" ht="24" customHeight="1">
      <c r="J1114" s="762"/>
      <c r="K1114" s="255" t="s">
        <v>678</v>
      </c>
      <c r="L1114" s="285">
        <f t="shared" ref="L1114" si="363">L316</f>
        <v>7740</v>
      </c>
      <c r="M1114" s="285">
        <f t="shared" ref="M1114:T1114" si="364">M316</f>
        <v>2574</v>
      </c>
      <c r="N1114" s="272">
        <f t="shared" si="364"/>
        <v>-18345</v>
      </c>
      <c r="O1114" s="272">
        <f t="shared" ref="O1114" si="365">O316</f>
        <v>-30994</v>
      </c>
      <c r="P1114" s="271">
        <f t="shared" ref="P1114:S1114" si="366">P316</f>
        <v>-49980</v>
      </c>
      <c r="Q1114" s="271">
        <f t="shared" si="366"/>
        <v>-41699</v>
      </c>
      <c r="R1114" s="271">
        <f t="shared" si="366"/>
        <v>-34024</v>
      </c>
      <c r="S1114" s="271">
        <f t="shared" si="366"/>
        <v>-26985</v>
      </c>
      <c r="T1114" s="271">
        <f t="shared" si="364"/>
        <v>-20614</v>
      </c>
      <c r="U1114" s="542"/>
      <c r="V1114" s="516"/>
      <c r="W1114" s="516"/>
      <c r="X1114" s="516"/>
      <c r="Y1114" s="516"/>
      <c r="Z1114" s="591"/>
      <c r="AA1114" s="385"/>
      <c r="AB1114" s="697"/>
      <c r="AC1114" s="697"/>
    </row>
    <row r="1115" spans="10:29" s="255" customFormat="1" ht="24" customHeight="1">
      <c r="J1115" s="762"/>
      <c r="K1115" s="255" t="s">
        <v>815</v>
      </c>
      <c r="L1115" s="285">
        <f t="shared" ref="L1115" si="367">L355</f>
        <v>1162506</v>
      </c>
      <c r="M1115" s="285">
        <f t="shared" ref="M1115:T1115" si="368">M355</f>
        <v>1030456</v>
      </c>
      <c r="N1115" s="272">
        <f t="shared" si="368"/>
        <v>620347</v>
      </c>
      <c r="O1115" s="272">
        <f t="shared" ref="O1115" si="369">O355</f>
        <v>977153</v>
      </c>
      <c r="P1115" s="271">
        <f t="shared" ref="P1115:S1115" si="370">P355</f>
        <v>589656</v>
      </c>
      <c r="Q1115" s="271">
        <f t="shared" si="370"/>
        <v>343076</v>
      </c>
      <c r="R1115" s="271">
        <f t="shared" si="370"/>
        <v>189518</v>
      </c>
      <c r="S1115" s="271">
        <f t="shared" si="370"/>
        <v>36064</v>
      </c>
      <c r="T1115" s="271">
        <f t="shared" si="368"/>
        <v>0</v>
      </c>
      <c r="U1115" s="542"/>
      <c r="V1115" s="516"/>
      <c r="W1115" s="516"/>
      <c r="X1115" s="516"/>
      <c r="Y1115" s="516"/>
      <c r="Z1115" s="591"/>
      <c r="AA1115" s="385"/>
      <c r="AB1115" s="697"/>
      <c r="AC1115" s="697"/>
    </row>
    <row r="1116" spans="10:29" s="255" customFormat="1" ht="24" customHeight="1">
      <c r="J1116" s="762"/>
      <c r="K1116" s="255" t="s">
        <v>816</v>
      </c>
      <c r="L1116" s="285">
        <f t="shared" ref="L1116" si="371">L371</f>
        <v>-571615</v>
      </c>
      <c r="M1116" s="285">
        <f t="shared" ref="M1116:T1116" si="372">M371</f>
        <v>0</v>
      </c>
      <c r="N1116" s="272">
        <f t="shared" si="372"/>
        <v>0</v>
      </c>
      <c r="O1116" s="272">
        <f t="shared" ref="O1116" si="373">O371</f>
        <v>0</v>
      </c>
      <c r="P1116" s="271">
        <f t="shared" ref="P1116:S1116" si="374">P371</f>
        <v>0</v>
      </c>
      <c r="Q1116" s="271">
        <f t="shared" si="374"/>
        <v>0</v>
      </c>
      <c r="R1116" s="271">
        <f t="shared" si="374"/>
        <v>0</v>
      </c>
      <c r="S1116" s="271">
        <f t="shared" si="374"/>
        <v>0</v>
      </c>
      <c r="T1116" s="271">
        <f t="shared" si="372"/>
        <v>0</v>
      </c>
      <c r="U1116" s="542"/>
      <c r="V1116" s="516"/>
      <c r="W1116" s="516"/>
      <c r="X1116" s="516"/>
      <c r="Y1116" s="516"/>
      <c r="Z1116" s="591"/>
      <c r="AA1116" s="385"/>
      <c r="AB1116" s="697"/>
      <c r="AC1116" s="697"/>
    </row>
    <row r="1117" spans="10:29" s="687" customFormat="1" ht="24" customHeight="1">
      <c r="J1117" s="762"/>
      <c r="K1117" s="255" t="s">
        <v>818</v>
      </c>
      <c r="L1117" s="285">
        <f t="shared" ref="L1117:T1117" si="375">L446</f>
        <v>328726</v>
      </c>
      <c r="M1117" s="285">
        <f t="shared" si="375"/>
        <v>676555</v>
      </c>
      <c r="N1117" s="272">
        <f t="shared" si="375"/>
        <v>4662971</v>
      </c>
      <c r="O1117" s="272">
        <f t="shared" si="375"/>
        <v>4974078</v>
      </c>
      <c r="P1117" s="271">
        <f t="shared" si="375"/>
        <v>831196</v>
      </c>
      <c r="Q1117" s="271">
        <f t="shared" si="375"/>
        <v>540614</v>
      </c>
      <c r="R1117" s="271">
        <f t="shared" si="375"/>
        <v>0</v>
      </c>
      <c r="S1117" s="271">
        <f t="shared" si="375"/>
        <v>0</v>
      </c>
      <c r="T1117" s="271">
        <f t="shared" si="375"/>
        <v>0</v>
      </c>
      <c r="U1117" s="542"/>
      <c r="V1117" s="516"/>
      <c r="W1117" s="516"/>
      <c r="X1117" s="516"/>
      <c r="Y1117" s="516"/>
      <c r="Z1117" s="591"/>
      <c r="AA1117" s="385"/>
      <c r="AB1117" s="697"/>
      <c r="AC1117" s="697"/>
    </row>
    <row r="1118" spans="10:29" s="255" customFormat="1" ht="24" customHeight="1">
      <c r="J1118" s="762"/>
      <c r="K1118" s="255" t="s">
        <v>1038</v>
      </c>
      <c r="L1118" s="285">
        <f t="shared" ref="L1118" si="376">L513+L515</f>
        <v>129086</v>
      </c>
      <c r="M1118" s="285">
        <f t="shared" ref="M1118:T1118" si="377">M513+M515</f>
        <v>113673</v>
      </c>
      <c r="N1118" s="286">
        <f t="shared" si="377"/>
        <v>0</v>
      </c>
      <c r="O1118" s="286">
        <f t="shared" ref="O1118" si="378">O513+O515</f>
        <v>16169</v>
      </c>
      <c r="P1118" s="285">
        <f t="shared" ref="P1118:S1118" si="379">P513+P515</f>
        <v>0</v>
      </c>
      <c r="Q1118" s="285">
        <f t="shared" si="379"/>
        <v>0</v>
      </c>
      <c r="R1118" s="285">
        <f t="shared" si="379"/>
        <v>0</v>
      </c>
      <c r="S1118" s="285">
        <f t="shared" si="379"/>
        <v>0</v>
      </c>
      <c r="T1118" s="285">
        <f t="shared" si="377"/>
        <v>0</v>
      </c>
      <c r="U1118" s="542"/>
      <c r="V1118" s="516"/>
      <c r="W1118" s="516"/>
      <c r="X1118" s="516"/>
      <c r="Y1118" s="516"/>
      <c r="Z1118" s="591"/>
      <c r="AA1118" s="385"/>
      <c r="AB1118" s="697"/>
      <c r="AC1118" s="697"/>
    </row>
    <row r="1119" spans="10:29" s="255" customFormat="1" ht="24" customHeight="1">
      <c r="J1119" s="762"/>
      <c r="K1119" s="255" t="s">
        <v>772</v>
      </c>
      <c r="L1119" s="271">
        <f t="shared" ref="L1119" si="380">L555</f>
        <v>12046</v>
      </c>
      <c r="M1119" s="271">
        <f t="shared" ref="M1119:T1119" si="381">M555</f>
        <v>5319</v>
      </c>
      <c r="N1119" s="272">
        <f t="shared" si="381"/>
        <v>6207</v>
      </c>
      <c r="O1119" s="272">
        <f t="shared" ref="O1119" si="382">O555</f>
        <v>8645</v>
      </c>
      <c r="P1119" s="271">
        <f t="shared" ref="P1119:S1119" si="383">P555</f>
        <v>0</v>
      </c>
      <c r="Q1119" s="271">
        <f t="shared" si="383"/>
        <v>0</v>
      </c>
      <c r="R1119" s="271">
        <f t="shared" si="383"/>
        <v>0</v>
      </c>
      <c r="S1119" s="271">
        <f t="shared" si="383"/>
        <v>0</v>
      </c>
      <c r="T1119" s="271">
        <f t="shared" si="381"/>
        <v>0</v>
      </c>
      <c r="U1119" s="542"/>
      <c r="V1119" s="516"/>
      <c r="W1119" s="516"/>
      <c r="X1119" s="516"/>
      <c r="Y1119" s="516"/>
      <c r="Z1119" s="591"/>
      <c r="AA1119" s="385"/>
      <c r="AB1119" s="697"/>
      <c r="AC1119" s="697"/>
    </row>
    <row r="1120" spans="10:29" s="255" customFormat="1" ht="24" customHeight="1">
      <c r="J1120" s="762"/>
      <c r="K1120" s="255" t="s">
        <v>679</v>
      </c>
      <c r="L1120" s="285">
        <f t="shared" ref="L1120" si="384">L659</f>
        <v>1526679</v>
      </c>
      <c r="M1120" s="285">
        <f t="shared" ref="M1120:T1120" si="385">M659</f>
        <v>1350923</v>
      </c>
      <c r="N1120" s="272">
        <f t="shared" si="385"/>
        <v>976762</v>
      </c>
      <c r="O1120" s="272">
        <f t="shared" ref="O1120" si="386">O659</f>
        <v>834203</v>
      </c>
      <c r="P1120" s="271">
        <f t="shared" ref="P1120:S1120" si="387">P659</f>
        <v>558007</v>
      </c>
      <c r="Q1120" s="271">
        <f t="shared" si="387"/>
        <v>839893</v>
      </c>
      <c r="R1120" s="271">
        <f t="shared" si="387"/>
        <v>668701</v>
      </c>
      <c r="S1120" s="271">
        <f t="shared" si="387"/>
        <v>287526</v>
      </c>
      <c r="T1120" s="271">
        <f t="shared" si="385"/>
        <v>-249574</v>
      </c>
      <c r="U1120" s="542"/>
      <c r="V1120" s="516"/>
      <c r="W1120" s="516"/>
      <c r="X1120" s="516"/>
      <c r="Y1120" s="516"/>
      <c r="Z1120" s="591"/>
      <c r="AA1120" s="385"/>
      <c r="AB1120" s="697"/>
      <c r="AC1120" s="697"/>
    </row>
    <row r="1121" spans="1:29" s="255" customFormat="1" ht="24" customHeight="1">
      <c r="J1121" s="762"/>
      <c r="K1121" s="255" t="s">
        <v>680</v>
      </c>
      <c r="L1121" s="285">
        <f t="shared" ref="L1121" si="388">L746</f>
        <v>2993332</v>
      </c>
      <c r="M1121" s="285">
        <f t="shared" ref="M1121:T1121" si="389">M746</f>
        <v>2879170</v>
      </c>
      <c r="N1121" s="272">
        <f t="shared" si="389"/>
        <v>1959540</v>
      </c>
      <c r="O1121" s="272">
        <f t="shared" ref="O1121" si="390">O746</f>
        <v>1793626</v>
      </c>
      <c r="P1121" s="271">
        <f>P746</f>
        <v>1368893</v>
      </c>
      <c r="Q1121" s="271">
        <f t="shared" ref="Q1121:S1121" si="391">Q746</f>
        <v>946344</v>
      </c>
      <c r="R1121" s="271">
        <f t="shared" si="391"/>
        <v>517248</v>
      </c>
      <c r="S1121" s="271">
        <f t="shared" si="391"/>
        <v>77567</v>
      </c>
      <c r="T1121" s="271">
        <f t="shared" si="389"/>
        <v>178243</v>
      </c>
      <c r="U1121" s="542"/>
      <c r="V1121" s="516"/>
      <c r="W1121" s="516"/>
      <c r="X1121" s="516"/>
      <c r="Y1121" s="516"/>
      <c r="Z1121" s="591"/>
      <c r="AA1121" s="385"/>
      <c r="AB1121" s="697"/>
      <c r="AC1121" s="697"/>
    </row>
    <row r="1122" spans="1:29" s="255" customFormat="1" ht="24" customHeight="1">
      <c r="J1122" s="762"/>
      <c r="K1122" s="255" t="s">
        <v>681</v>
      </c>
      <c r="L1122" s="285">
        <f t="shared" ref="L1122" si="392">L785</f>
        <v>121420</v>
      </c>
      <c r="M1122" s="285">
        <f t="shared" ref="M1122:T1122" si="393">M785</f>
        <v>187984</v>
      </c>
      <c r="N1122" s="272">
        <f t="shared" si="393"/>
        <v>-145213</v>
      </c>
      <c r="O1122" s="272">
        <f t="shared" ref="O1122" si="394">O785</f>
        <v>-34835</v>
      </c>
      <c r="P1122" s="271">
        <f t="shared" ref="P1122:S1122" si="395">P785</f>
        <v>-185167</v>
      </c>
      <c r="Q1122" s="271">
        <f t="shared" si="395"/>
        <v>145333</v>
      </c>
      <c r="R1122" s="271">
        <f t="shared" si="395"/>
        <v>175833</v>
      </c>
      <c r="S1122" s="271">
        <f t="shared" si="395"/>
        <v>206333</v>
      </c>
      <c r="T1122" s="271">
        <f t="shared" si="393"/>
        <v>236833</v>
      </c>
      <c r="U1122" s="542"/>
      <c r="V1122" s="516"/>
      <c r="W1122" s="516"/>
      <c r="X1122" s="516"/>
      <c r="Y1122" s="516"/>
      <c r="Z1122" s="591"/>
      <c r="AA1122" s="385"/>
      <c r="AB1122" s="697"/>
      <c r="AC1122" s="697"/>
    </row>
    <row r="1123" spans="1:29" s="255" customFormat="1" ht="24" customHeight="1">
      <c r="J1123" s="342"/>
      <c r="K1123" s="255" t="s">
        <v>588</v>
      </c>
      <c r="L1123" s="285">
        <f>L1063</f>
        <v>1572335</v>
      </c>
      <c r="M1123" s="285">
        <f>M1063</f>
        <v>-534087</v>
      </c>
      <c r="N1123" s="272">
        <f t="shared" ref="N1123:O1123" si="396">N1063</f>
        <v>-604070</v>
      </c>
      <c r="O1123" s="272">
        <f t="shared" si="396"/>
        <v>-598388</v>
      </c>
      <c r="P1123" s="271">
        <f t="shared" ref="P1123:R1123" si="397">P1063</f>
        <v>-594959</v>
      </c>
      <c r="Q1123" s="271">
        <f t="shared" si="397"/>
        <v>-616887</v>
      </c>
      <c r="R1123" s="271">
        <f t="shared" si="397"/>
        <v>-638815</v>
      </c>
      <c r="S1123" s="271">
        <f>S1063</f>
        <v>-660743</v>
      </c>
      <c r="T1123" s="271">
        <f>T1063</f>
        <v>-917671</v>
      </c>
      <c r="U1123" s="542"/>
      <c r="V1123" s="516"/>
      <c r="W1123" s="516"/>
      <c r="X1123" s="516"/>
      <c r="Y1123" s="516"/>
      <c r="Z1123" s="591"/>
      <c r="AA1123" s="385"/>
      <c r="AB1123" s="697"/>
      <c r="AC1123" s="697"/>
    </row>
    <row r="1124" spans="1:29" s="255" customFormat="1" ht="24" customHeight="1">
      <c r="J1124" s="342"/>
      <c r="K1124" s="255" t="s">
        <v>593</v>
      </c>
      <c r="L1124" s="303">
        <f>L1088</f>
        <v>216937</v>
      </c>
      <c r="M1124" s="303">
        <f>M1088</f>
        <v>231529</v>
      </c>
      <c r="N1124" s="306">
        <f t="shared" ref="N1124:O1124" si="398">N1088</f>
        <v>265260</v>
      </c>
      <c r="O1124" s="306">
        <f t="shared" si="398"/>
        <v>232931</v>
      </c>
      <c r="P1124" s="307">
        <f t="shared" ref="P1124:R1124" si="399">P1088</f>
        <v>-58049</v>
      </c>
      <c r="Q1124" s="307">
        <f t="shared" si="399"/>
        <v>-33284</v>
      </c>
      <c r="R1124" s="307">
        <f t="shared" si="399"/>
        <v>-8629</v>
      </c>
      <c r="S1124" s="307">
        <f>S1088</f>
        <v>21026</v>
      </c>
      <c r="T1124" s="307">
        <f>T1088</f>
        <v>50581</v>
      </c>
      <c r="U1124" s="542"/>
      <c r="V1124" s="516"/>
      <c r="W1124" s="516"/>
      <c r="X1124" s="516"/>
      <c r="Y1124" s="516"/>
      <c r="Z1124" s="591"/>
      <c r="AA1124" s="385"/>
      <c r="AB1124" s="697"/>
      <c r="AC1124" s="697"/>
    </row>
    <row r="1125" spans="1:29" s="255" customFormat="1" ht="24" customHeight="1">
      <c r="L1125" s="285"/>
      <c r="M1125" s="285"/>
      <c r="N1125" s="272"/>
      <c r="O1125" s="272"/>
      <c r="P1125" s="271"/>
      <c r="Q1125" s="271"/>
      <c r="R1125" s="271"/>
      <c r="S1125" s="271"/>
      <c r="T1125" s="271"/>
      <c r="U1125" s="542"/>
      <c r="V1125" s="516"/>
      <c r="W1125" s="516"/>
      <c r="X1125" s="516"/>
      <c r="Y1125" s="516"/>
      <c r="Z1125" s="591"/>
      <c r="AA1125" s="385"/>
      <c r="AB1125" s="697"/>
      <c r="AC1125" s="697"/>
    </row>
    <row r="1126" spans="1:29" s="255" customFormat="1" ht="24" customHeight="1">
      <c r="L1126" s="290">
        <f t="shared" ref="L1126" si="400">SUM(L1112:L1125)</f>
        <v>11738136</v>
      </c>
      <c r="M1126" s="290">
        <f t="shared" ref="M1126:T1126" si="401">SUM(M1112:M1125)</f>
        <v>9815811</v>
      </c>
      <c r="N1126" s="274">
        <f t="shared" si="401"/>
        <v>11597666</v>
      </c>
      <c r="O1126" s="274">
        <f t="shared" ref="O1126" si="402">SUM(O1112:O1125)</f>
        <v>12288260</v>
      </c>
      <c r="P1126" s="273">
        <f t="shared" ref="P1126:S1126" si="403">SUM(P1112:P1125)</f>
        <v>6562511</v>
      </c>
      <c r="Q1126" s="273">
        <f t="shared" si="403"/>
        <v>5706400</v>
      </c>
      <c r="R1126" s="273">
        <f t="shared" si="403"/>
        <v>3549742</v>
      </c>
      <c r="S1126" s="273">
        <f t="shared" si="403"/>
        <v>1366190</v>
      </c>
      <c r="T1126" s="273">
        <f t="shared" si="401"/>
        <v>-954773</v>
      </c>
      <c r="U1126" s="542"/>
      <c r="V1126" s="591"/>
      <c r="W1126" s="591"/>
      <c r="X1126" s="591"/>
      <c r="Y1126" s="591"/>
      <c r="Z1126" s="591"/>
      <c r="AA1126" s="718"/>
      <c r="AB1126" s="324"/>
      <c r="AC1126" s="697"/>
    </row>
    <row r="1127" spans="1:29" s="379" customFormat="1" ht="24" hidden="1" customHeight="1">
      <c r="L1127" s="381">
        <f t="shared" ref="L1127:T1127" si="404">L280+L299+L316+L355+L371+L446+L555+L659+L746+L785+L1063+L1088+L513+L515</f>
        <v>11738136</v>
      </c>
      <c r="M1127" s="381">
        <f t="shared" si="404"/>
        <v>9815811</v>
      </c>
      <c r="N1127" s="381">
        <f t="shared" si="404"/>
        <v>11597666</v>
      </c>
      <c r="O1127" s="381">
        <f t="shared" si="404"/>
        <v>12288260</v>
      </c>
      <c r="P1127" s="381">
        <f t="shared" si="404"/>
        <v>6562511</v>
      </c>
      <c r="Q1127" s="381">
        <f t="shared" si="404"/>
        <v>5706400</v>
      </c>
      <c r="R1127" s="381">
        <f t="shared" si="404"/>
        <v>3549742</v>
      </c>
      <c r="S1127" s="381">
        <f t="shared" si="404"/>
        <v>1366190</v>
      </c>
      <c r="T1127" s="381">
        <f t="shared" si="404"/>
        <v>-954773</v>
      </c>
      <c r="U1127" s="541"/>
      <c r="V1127" s="744" t="s">
        <v>1128</v>
      </c>
    </row>
    <row r="1128" spans="1:29" s="379" customFormat="1" ht="24" hidden="1" customHeight="1">
      <c r="L1128" s="381">
        <f t="shared" ref="L1128" si="405">L1126-L1127</f>
        <v>0</v>
      </c>
      <c r="M1128" s="381">
        <f t="shared" ref="M1128:T1128" si="406">M1126-M1127</f>
        <v>0</v>
      </c>
      <c r="N1128" s="381">
        <f t="shared" si="406"/>
        <v>0</v>
      </c>
      <c r="O1128" s="381">
        <f t="shared" ref="O1128" si="407">O1126-O1127</f>
        <v>0</v>
      </c>
      <c r="P1128" s="381">
        <f t="shared" ref="P1128:S1128" si="408">P1126-P1127</f>
        <v>0</v>
      </c>
      <c r="Q1128" s="381">
        <f t="shared" si="408"/>
        <v>0</v>
      </c>
      <c r="R1128" s="381">
        <f t="shared" si="408"/>
        <v>0</v>
      </c>
      <c r="S1128" s="381">
        <f t="shared" si="408"/>
        <v>0</v>
      </c>
      <c r="T1128" s="381">
        <f t="shared" si="406"/>
        <v>0</v>
      </c>
      <c r="U1128" s="541"/>
      <c r="V1128" s="744"/>
    </row>
    <row r="1129" spans="1:29" s="255" customFormat="1" ht="24" customHeight="1">
      <c r="L1129" s="271"/>
      <c r="M1129" s="271"/>
      <c r="N1129" s="272"/>
      <c r="O1129" s="272"/>
      <c r="P1129" s="271"/>
      <c r="Q1129" s="271"/>
      <c r="R1129" s="271"/>
      <c r="S1129" s="271"/>
      <c r="T1129" s="271"/>
      <c r="U1129" s="542"/>
      <c r="V1129" s="697"/>
    </row>
    <row r="1130" spans="1:29" s="187" customFormat="1" ht="24" customHeight="1">
      <c r="A1130" s="341"/>
      <c r="B1130" s="341"/>
      <c r="C1130" s="341"/>
      <c r="D1130" s="341"/>
      <c r="E1130" s="341"/>
      <c r="F1130" s="343"/>
      <c r="G1130" s="343"/>
      <c r="H1130" s="343"/>
      <c r="I1130" s="343"/>
      <c r="J1130" s="343"/>
      <c r="K1130" s="343"/>
      <c r="L1130" s="311"/>
      <c r="M1130" s="311"/>
      <c r="N1130" s="310"/>
      <c r="O1130" s="310"/>
      <c r="P1130" s="247"/>
      <c r="Q1130" s="247"/>
      <c r="R1130" s="247"/>
      <c r="S1130" s="247"/>
      <c r="T1130" s="247"/>
      <c r="U1130" s="407"/>
      <c r="V1130" s="250"/>
      <c r="W1130" s="250"/>
      <c r="X1130" s="250"/>
      <c r="Y1130" s="250"/>
      <c r="Z1130" s="248"/>
    </row>
    <row r="1131" spans="1:29" s="379" customFormat="1" ht="24" customHeight="1">
      <c r="A1131" s="755" t="s">
        <v>753</v>
      </c>
      <c r="B1131" s="755"/>
      <c r="C1131" s="755"/>
      <c r="D1131" s="755"/>
      <c r="E1131" s="755"/>
      <c r="F1131" s="755"/>
      <c r="G1131" s="755"/>
      <c r="H1131" s="755"/>
      <c r="I1131" s="755"/>
      <c r="J1131" s="755"/>
      <c r="K1131" s="755"/>
      <c r="L1131" s="381"/>
      <c r="M1131" s="381"/>
      <c r="N1131" s="381"/>
      <c r="O1131" s="381"/>
      <c r="P1131" s="381"/>
      <c r="Q1131" s="381"/>
      <c r="R1131" s="381"/>
      <c r="S1131" s="381"/>
      <c r="T1131" s="381"/>
      <c r="U1131" s="541"/>
    </row>
    <row r="1132" spans="1:29" s="255" customFormat="1" ht="24" customHeight="1">
      <c r="L1132" s="271"/>
      <c r="M1132" s="271"/>
      <c r="N1132" s="272"/>
      <c r="O1132" s="272"/>
      <c r="P1132" s="271"/>
      <c r="Q1132" s="271"/>
      <c r="R1132" s="271"/>
      <c r="S1132" s="271"/>
      <c r="T1132" s="271"/>
      <c r="U1132" s="542"/>
    </row>
    <row r="1133" spans="1:29" s="434" customFormat="1" ht="24" customHeight="1">
      <c r="K1133" s="435" t="s">
        <v>675</v>
      </c>
      <c r="L1133" s="436"/>
      <c r="M1133" s="436"/>
      <c r="N1133" s="437"/>
      <c r="O1133" s="437"/>
      <c r="P1133" s="436"/>
      <c r="Q1133" s="436"/>
      <c r="R1133" s="436"/>
      <c r="S1133" s="436"/>
      <c r="T1133" s="436"/>
      <c r="U1133" s="438"/>
    </row>
    <row r="1134" spans="1:29" s="255" customFormat="1" ht="24" customHeight="1">
      <c r="K1134" s="255" t="s">
        <v>1038</v>
      </c>
      <c r="L1134" s="271">
        <f t="shared" ref="L1134:T1134" si="409">L455+L462+L465+L466-L507</f>
        <v>-15971</v>
      </c>
      <c r="M1134" s="271">
        <f t="shared" si="409"/>
        <v>-13230</v>
      </c>
      <c r="N1134" s="272">
        <f t="shared" si="409"/>
        <v>-29844</v>
      </c>
      <c r="O1134" s="272">
        <f t="shared" si="409"/>
        <v>92326</v>
      </c>
      <c r="P1134" s="271">
        <f t="shared" si="409"/>
        <v>-127623</v>
      </c>
      <c r="Q1134" s="271">
        <f t="shared" si="409"/>
        <v>306</v>
      </c>
      <c r="R1134" s="271">
        <f t="shared" si="409"/>
        <v>306</v>
      </c>
      <c r="S1134" s="271">
        <f t="shared" si="409"/>
        <v>306</v>
      </c>
      <c r="T1134" s="271">
        <f t="shared" si="409"/>
        <v>306</v>
      </c>
      <c r="U1134" s="542"/>
    </row>
    <row r="1135" spans="1:29" s="255" customFormat="1" ht="24" customHeight="1">
      <c r="K1135" s="255" t="s">
        <v>754</v>
      </c>
      <c r="L1135" s="285">
        <f t="shared" ref="L1135" si="410">L872</f>
        <v>40303</v>
      </c>
      <c r="M1135" s="285">
        <f t="shared" ref="M1135:T1135" si="411">M872</f>
        <v>226112</v>
      </c>
      <c r="N1135" s="286">
        <f t="shared" si="411"/>
        <v>-145591</v>
      </c>
      <c r="O1135" s="286">
        <f t="shared" ref="O1135" si="412">O872</f>
        <v>-64385</v>
      </c>
      <c r="P1135" s="271">
        <f t="shared" ref="P1135:S1135" si="413">P872</f>
        <v>-212709</v>
      </c>
      <c r="Q1135" s="271">
        <f t="shared" si="413"/>
        <v>8236</v>
      </c>
      <c r="R1135" s="271">
        <f t="shared" si="413"/>
        <v>9176</v>
      </c>
      <c r="S1135" s="271">
        <f t="shared" si="413"/>
        <v>9731</v>
      </c>
      <c r="T1135" s="271">
        <f t="shared" si="411"/>
        <v>10323</v>
      </c>
      <c r="U1135" s="542"/>
    </row>
    <row r="1136" spans="1:29" s="255" customFormat="1" ht="24" customHeight="1">
      <c r="K1136" s="255" t="s">
        <v>755</v>
      </c>
      <c r="L1136" s="303">
        <f t="shared" ref="L1136" si="414">L920</f>
        <v>-80418</v>
      </c>
      <c r="M1136" s="303">
        <f t="shared" ref="M1136:T1136" si="415">M920</f>
        <v>300420</v>
      </c>
      <c r="N1136" s="304">
        <f t="shared" si="415"/>
        <v>0</v>
      </c>
      <c r="O1136" s="304">
        <f t="shared" ref="O1136" si="416">O920</f>
        <v>0</v>
      </c>
      <c r="P1136" s="307">
        <f t="shared" ref="P1136:S1136" si="417">P920</f>
        <v>0</v>
      </c>
      <c r="Q1136" s="307">
        <f t="shared" si="417"/>
        <v>0</v>
      </c>
      <c r="R1136" s="307">
        <f t="shared" si="417"/>
        <v>0</v>
      </c>
      <c r="S1136" s="307">
        <f t="shared" si="417"/>
        <v>0</v>
      </c>
      <c r="T1136" s="307">
        <f t="shared" si="415"/>
        <v>0</v>
      </c>
      <c r="U1136" s="542"/>
    </row>
    <row r="1137" spans="1:29" s="255" customFormat="1" ht="24" customHeight="1">
      <c r="L1137" s="285"/>
      <c r="M1137" s="285"/>
      <c r="N1137" s="272"/>
      <c r="O1137" s="272"/>
      <c r="P1137" s="271"/>
      <c r="Q1137" s="271"/>
      <c r="R1137" s="271"/>
      <c r="S1137" s="271"/>
      <c r="T1137" s="271"/>
      <c r="U1137" s="542"/>
    </row>
    <row r="1138" spans="1:29" s="255" customFormat="1" ht="24" customHeight="1">
      <c r="K1138" s="324"/>
      <c r="L1138" s="290">
        <f>SUM(L1134:L1137)</f>
        <v>-56086</v>
      </c>
      <c r="M1138" s="290">
        <f>SUM(M1134:M1137)</f>
        <v>513302</v>
      </c>
      <c r="N1138" s="274">
        <f t="shared" ref="N1138:O1138" si="418">SUM(N1134:N1137)</f>
        <v>-175435</v>
      </c>
      <c r="O1138" s="274">
        <f t="shared" si="418"/>
        <v>27941</v>
      </c>
      <c r="P1138" s="273">
        <f>SUM(P1134:P1137)</f>
        <v>-340332</v>
      </c>
      <c r="Q1138" s="273">
        <f t="shared" ref="Q1138:R1138" si="419">SUM(Q1134:Q1137)</f>
        <v>8542</v>
      </c>
      <c r="R1138" s="273">
        <f t="shared" si="419"/>
        <v>9482</v>
      </c>
      <c r="S1138" s="273">
        <f>SUM(S1134:S1137)</f>
        <v>10037</v>
      </c>
      <c r="T1138" s="273">
        <f>SUM(T1134:T1137)</f>
        <v>10629</v>
      </c>
      <c r="U1138" s="542"/>
      <c r="V1138" s="697"/>
    </row>
    <row r="1139" spans="1:29" s="379" customFormat="1" ht="24" hidden="1" customHeight="1">
      <c r="L1139" s="382">
        <f t="shared" ref="L1139:T1139" si="420">L872+L920+L455+L466+L462+L465-L507</f>
        <v>-56086</v>
      </c>
      <c r="M1139" s="382">
        <f t="shared" si="420"/>
        <v>513302</v>
      </c>
      <c r="N1139" s="382">
        <f t="shared" si="420"/>
        <v>-175435</v>
      </c>
      <c r="O1139" s="382">
        <f t="shared" si="420"/>
        <v>27941</v>
      </c>
      <c r="P1139" s="382">
        <f t="shared" si="420"/>
        <v>-340332</v>
      </c>
      <c r="Q1139" s="382">
        <f t="shared" si="420"/>
        <v>8542</v>
      </c>
      <c r="R1139" s="382">
        <f t="shared" si="420"/>
        <v>9482</v>
      </c>
      <c r="S1139" s="382">
        <f t="shared" si="420"/>
        <v>10037</v>
      </c>
      <c r="T1139" s="382">
        <f t="shared" si="420"/>
        <v>10629</v>
      </c>
      <c r="U1139" s="541"/>
      <c r="V1139" s="744" t="s">
        <v>1128</v>
      </c>
    </row>
    <row r="1140" spans="1:29" s="379" customFormat="1" ht="24" hidden="1" customHeight="1">
      <c r="L1140" s="381">
        <f t="shared" ref="L1140" si="421">L1138-L1139</f>
        <v>0</v>
      </c>
      <c r="M1140" s="381">
        <f t="shared" ref="M1140:T1140" si="422">M1138-M1139</f>
        <v>0</v>
      </c>
      <c r="N1140" s="381">
        <f t="shared" si="422"/>
        <v>0</v>
      </c>
      <c r="O1140" s="381">
        <f t="shared" ref="O1140" si="423">O1138-O1139</f>
        <v>0</v>
      </c>
      <c r="P1140" s="381">
        <f t="shared" ref="P1140:S1140" si="424">P1138-P1139</f>
        <v>0</v>
      </c>
      <c r="Q1140" s="381">
        <f t="shared" si="424"/>
        <v>0</v>
      </c>
      <c r="R1140" s="381">
        <f t="shared" si="424"/>
        <v>0</v>
      </c>
      <c r="S1140" s="381">
        <f t="shared" si="424"/>
        <v>0</v>
      </c>
      <c r="T1140" s="381">
        <f t="shared" si="422"/>
        <v>0</v>
      </c>
      <c r="U1140" s="541"/>
      <c r="V1140" s="744"/>
    </row>
    <row r="1141" spans="1:29" s="255" customFormat="1" ht="24" customHeight="1">
      <c r="L1141" s="271"/>
      <c r="M1141" s="271"/>
      <c r="N1141" s="272"/>
      <c r="O1141" s="272"/>
      <c r="P1141" s="271"/>
      <c r="Q1141" s="271"/>
      <c r="R1141" s="271"/>
      <c r="S1141" s="271"/>
      <c r="T1141" s="271"/>
      <c r="U1141" s="542"/>
      <c r="V1141" s="743"/>
      <c r="W1141" s="743"/>
      <c r="X1141" s="743"/>
      <c r="Y1141" s="743"/>
      <c r="Z1141" s="743"/>
      <c r="AA1141" s="385"/>
      <c r="AB1141" s="697"/>
      <c r="AC1141" s="697"/>
    </row>
    <row r="1142" spans="1:29" s="439" customFormat="1" ht="24" customHeight="1">
      <c r="K1142" s="440" t="s">
        <v>964</v>
      </c>
      <c r="L1142" s="441"/>
      <c r="M1142" s="441"/>
      <c r="N1142" s="442"/>
      <c r="O1142" s="442"/>
      <c r="P1142" s="441"/>
      <c r="Q1142" s="441"/>
      <c r="R1142" s="441"/>
      <c r="S1142" s="441"/>
      <c r="T1142" s="441"/>
      <c r="U1142" s="443"/>
      <c r="V1142" s="716"/>
      <c r="W1142" s="716"/>
      <c r="X1142" s="716"/>
      <c r="Y1142" s="716"/>
      <c r="Z1142" s="716"/>
      <c r="AA1142" s="717"/>
    </row>
    <row r="1143" spans="1:29" s="255" customFormat="1" ht="24" customHeight="1">
      <c r="K1143" s="255" t="s">
        <v>1038</v>
      </c>
      <c r="L1143" s="271">
        <f t="shared" ref="L1143" si="425">L517</f>
        <v>46502</v>
      </c>
      <c r="M1143" s="271">
        <f t="shared" ref="M1143:T1143" si="426">M517</f>
        <v>34073</v>
      </c>
      <c r="N1143" s="272">
        <f t="shared" si="426"/>
        <v>0</v>
      </c>
      <c r="O1143" s="272">
        <f t="shared" ref="O1143" si="427">O517</f>
        <v>126399</v>
      </c>
      <c r="P1143" s="271">
        <f t="shared" ref="P1143:S1143" si="428">P517</f>
        <v>-1224</v>
      </c>
      <c r="Q1143" s="271">
        <f t="shared" si="428"/>
        <v>-918</v>
      </c>
      <c r="R1143" s="271">
        <f t="shared" si="428"/>
        <v>-612</v>
      </c>
      <c r="S1143" s="271">
        <f t="shared" si="428"/>
        <v>-306</v>
      </c>
      <c r="T1143" s="271">
        <f t="shared" si="426"/>
        <v>0</v>
      </c>
      <c r="U1143" s="542"/>
      <c r="V1143" s="516"/>
      <c r="W1143" s="516"/>
      <c r="X1143" s="516"/>
      <c r="Y1143" s="516"/>
      <c r="Z1143" s="591"/>
      <c r="AA1143" s="717"/>
      <c r="AB1143" s="697"/>
      <c r="AC1143" s="697"/>
    </row>
    <row r="1144" spans="1:29" s="255" customFormat="1" ht="24" customHeight="1">
      <c r="K1144" s="255" t="s">
        <v>754</v>
      </c>
      <c r="L1144" s="285">
        <f t="shared" ref="L1144" si="429">L874</f>
        <v>320370</v>
      </c>
      <c r="M1144" s="285">
        <f t="shared" ref="M1144:T1144" si="430">M874</f>
        <v>546485</v>
      </c>
      <c r="N1144" s="286">
        <f t="shared" si="430"/>
        <v>286717</v>
      </c>
      <c r="O1144" s="286">
        <f t="shared" ref="O1144" si="431">O874</f>
        <v>482100</v>
      </c>
      <c r="P1144" s="271">
        <f t="shared" ref="P1144:S1144" si="432">P874</f>
        <v>269391</v>
      </c>
      <c r="Q1144" s="271">
        <f t="shared" si="432"/>
        <v>277627</v>
      </c>
      <c r="R1144" s="271">
        <f t="shared" si="432"/>
        <v>286803</v>
      </c>
      <c r="S1144" s="271">
        <f t="shared" si="432"/>
        <v>296534</v>
      </c>
      <c r="T1144" s="271">
        <f t="shared" si="430"/>
        <v>306857</v>
      </c>
      <c r="U1144" s="542"/>
      <c r="V1144" s="516"/>
      <c r="W1144" s="516"/>
      <c r="X1144" s="516"/>
      <c r="Y1144" s="516"/>
      <c r="Z1144" s="516"/>
      <c r="AA1144" s="717"/>
      <c r="AB1144" s="697"/>
      <c r="AC1144" s="697"/>
    </row>
    <row r="1145" spans="1:29" s="255" customFormat="1" ht="24" customHeight="1">
      <c r="K1145" s="255" t="s">
        <v>755</v>
      </c>
      <c r="L1145" s="303">
        <f t="shared" ref="L1145" si="433">L922</f>
        <v>-300420</v>
      </c>
      <c r="M1145" s="303">
        <f t="shared" ref="M1145:T1145" si="434">M922</f>
        <v>0</v>
      </c>
      <c r="N1145" s="304">
        <f t="shared" si="434"/>
        <v>0</v>
      </c>
      <c r="O1145" s="304">
        <f t="shared" ref="O1145" si="435">O922</f>
        <v>0</v>
      </c>
      <c r="P1145" s="307">
        <f t="shared" ref="P1145:S1145" si="436">P922</f>
        <v>0</v>
      </c>
      <c r="Q1145" s="307">
        <f t="shared" si="436"/>
        <v>0</v>
      </c>
      <c r="R1145" s="307">
        <f t="shared" si="436"/>
        <v>0</v>
      </c>
      <c r="S1145" s="307">
        <f t="shared" si="436"/>
        <v>0</v>
      </c>
      <c r="T1145" s="307">
        <f t="shared" si="434"/>
        <v>0</v>
      </c>
      <c r="U1145" s="542"/>
      <c r="V1145" s="516"/>
      <c r="W1145" s="516"/>
      <c r="X1145" s="516"/>
      <c r="Y1145" s="516"/>
      <c r="Z1145" s="516"/>
      <c r="AA1145" s="717"/>
      <c r="AB1145" s="697"/>
      <c r="AC1145" s="697"/>
    </row>
    <row r="1146" spans="1:29" s="255" customFormat="1" ht="24" customHeight="1">
      <c r="L1146" s="285"/>
      <c r="M1146" s="285"/>
      <c r="N1146" s="272"/>
      <c r="O1146" s="272"/>
      <c r="P1146" s="271"/>
      <c r="Q1146" s="271"/>
      <c r="R1146" s="271"/>
      <c r="S1146" s="271"/>
      <c r="T1146" s="271"/>
      <c r="U1146" s="542"/>
      <c r="V1146" s="516"/>
      <c r="W1146" s="516"/>
      <c r="X1146" s="516"/>
      <c r="Y1146" s="516"/>
      <c r="Z1146" s="516"/>
      <c r="AA1146" s="717"/>
      <c r="AB1146" s="697"/>
      <c r="AC1146" s="697"/>
    </row>
    <row r="1147" spans="1:29" s="255" customFormat="1" ht="24" customHeight="1">
      <c r="L1147" s="290">
        <f>SUM(L1143:L1146)</f>
        <v>66452</v>
      </c>
      <c r="M1147" s="290">
        <f>SUM(M1143:M1146)</f>
        <v>580558</v>
      </c>
      <c r="N1147" s="274">
        <f t="shared" ref="N1147:O1147" si="437">SUM(N1143:N1146)</f>
        <v>286717</v>
      </c>
      <c r="O1147" s="274">
        <f t="shared" si="437"/>
        <v>608499</v>
      </c>
      <c r="P1147" s="273">
        <f>SUM(P1143:P1146)</f>
        <v>268167</v>
      </c>
      <c r="Q1147" s="273">
        <f t="shared" ref="Q1147:R1147" si="438">SUM(Q1143:Q1146)</f>
        <v>276709</v>
      </c>
      <c r="R1147" s="273">
        <f t="shared" si="438"/>
        <v>286191</v>
      </c>
      <c r="S1147" s="273">
        <f>SUM(S1143:S1146)</f>
        <v>296228</v>
      </c>
      <c r="T1147" s="273">
        <f>SUM(T1143:T1146)</f>
        <v>306857</v>
      </c>
      <c r="U1147" s="542"/>
      <c r="V1147" s="516"/>
      <c r="W1147" s="516"/>
      <c r="X1147" s="591"/>
      <c r="Y1147" s="591"/>
      <c r="Z1147" s="591"/>
      <c r="AA1147" s="719"/>
      <c r="AB1147" s="324"/>
      <c r="AC1147" s="697"/>
    </row>
    <row r="1148" spans="1:29" s="379" customFormat="1" ht="24" hidden="1" customHeight="1">
      <c r="L1148" s="381">
        <f t="shared" ref="L1148:T1148" si="439">L874+L922+L517</f>
        <v>66452</v>
      </c>
      <c r="M1148" s="381">
        <f t="shared" si="439"/>
        <v>580558</v>
      </c>
      <c r="N1148" s="381">
        <f t="shared" si="439"/>
        <v>286717</v>
      </c>
      <c r="O1148" s="381">
        <f t="shared" si="439"/>
        <v>608499</v>
      </c>
      <c r="P1148" s="381">
        <f t="shared" si="439"/>
        <v>268167</v>
      </c>
      <c r="Q1148" s="381">
        <f t="shared" si="439"/>
        <v>276709</v>
      </c>
      <c r="R1148" s="381">
        <f t="shared" si="439"/>
        <v>286191</v>
      </c>
      <c r="S1148" s="381">
        <f t="shared" si="439"/>
        <v>296228</v>
      </c>
      <c r="T1148" s="381">
        <f t="shared" si="439"/>
        <v>306857</v>
      </c>
      <c r="U1148" s="541"/>
      <c r="V1148" s="744" t="s">
        <v>1128</v>
      </c>
    </row>
    <row r="1149" spans="1:29" s="379" customFormat="1" ht="24" hidden="1" customHeight="1">
      <c r="L1149" s="381">
        <f t="shared" ref="L1149" si="440">L1147-L1148</f>
        <v>0</v>
      </c>
      <c r="M1149" s="381">
        <f t="shared" ref="M1149:T1149" si="441">M1147-M1148</f>
        <v>0</v>
      </c>
      <c r="N1149" s="381">
        <f t="shared" si="441"/>
        <v>0</v>
      </c>
      <c r="O1149" s="381">
        <f t="shared" ref="O1149" si="442">O1147-O1148</f>
        <v>0</v>
      </c>
      <c r="P1149" s="381">
        <f t="shared" ref="P1149:S1149" si="443">P1147-P1148</f>
        <v>0</v>
      </c>
      <c r="Q1149" s="381">
        <f t="shared" si="443"/>
        <v>0</v>
      </c>
      <c r="R1149" s="381">
        <f t="shared" si="443"/>
        <v>0</v>
      </c>
      <c r="S1149" s="381">
        <f t="shared" si="443"/>
        <v>0</v>
      </c>
      <c r="T1149" s="381">
        <f t="shared" si="441"/>
        <v>0</v>
      </c>
      <c r="U1149" s="541"/>
      <c r="V1149" s="744"/>
    </row>
    <row r="1150" spans="1:29" s="255" customFormat="1" ht="24" customHeight="1">
      <c r="L1150" s="271"/>
      <c r="M1150" s="271"/>
      <c r="N1150" s="272"/>
      <c r="O1150" s="272"/>
      <c r="P1150" s="271"/>
      <c r="Q1150" s="271"/>
      <c r="R1150" s="271"/>
      <c r="S1150" s="271"/>
      <c r="T1150" s="271"/>
      <c r="U1150" s="542"/>
    </row>
    <row r="1151" spans="1:29" s="255" customFormat="1" ht="24" customHeight="1">
      <c r="L1151" s="271"/>
      <c r="M1151" s="271"/>
      <c r="N1151" s="272"/>
      <c r="O1151" s="272"/>
      <c r="P1151" s="271"/>
      <c r="Q1151" s="271"/>
      <c r="R1151" s="271"/>
      <c r="S1151" s="271"/>
      <c r="T1151" s="271"/>
      <c r="U1151" s="542"/>
    </row>
    <row r="1152" spans="1:29" s="379" customFormat="1" ht="24" customHeight="1">
      <c r="A1152" s="755" t="s">
        <v>756</v>
      </c>
      <c r="B1152" s="755"/>
      <c r="C1152" s="755"/>
      <c r="D1152" s="755"/>
      <c r="E1152" s="755"/>
      <c r="F1152" s="755"/>
      <c r="G1152" s="755"/>
      <c r="H1152" s="755"/>
      <c r="I1152" s="755"/>
      <c r="J1152" s="755"/>
      <c r="K1152" s="755"/>
      <c r="L1152" s="381"/>
      <c r="M1152" s="381"/>
      <c r="N1152" s="381"/>
      <c r="O1152" s="381"/>
      <c r="P1152" s="381"/>
      <c r="Q1152" s="381"/>
      <c r="R1152" s="381"/>
      <c r="S1152" s="381"/>
      <c r="T1152" s="381"/>
      <c r="U1152" s="541"/>
    </row>
    <row r="1153" spans="11:28" s="255" customFormat="1" ht="24" customHeight="1">
      <c r="L1153" s="271"/>
      <c r="M1153" s="271"/>
      <c r="N1153" s="272"/>
      <c r="O1153" s="272"/>
      <c r="P1153" s="271"/>
      <c r="Q1153" s="271"/>
      <c r="R1153" s="271"/>
      <c r="S1153" s="271"/>
      <c r="T1153" s="271"/>
      <c r="U1153" s="542"/>
    </row>
    <row r="1154" spans="11:28" s="434" customFormat="1" ht="24" customHeight="1">
      <c r="K1154" s="435" t="s">
        <v>675</v>
      </c>
      <c r="L1154" s="436"/>
      <c r="M1154" s="436"/>
      <c r="N1154" s="437"/>
      <c r="O1154" s="437"/>
      <c r="P1154" s="436"/>
      <c r="Q1154" s="436"/>
      <c r="R1154" s="436"/>
      <c r="S1154" s="436"/>
      <c r="T1154" s="436"/>
      <c r="U1154" s="438"/>
    </row>
    <row r="1155" spans="11:28" s="255" customFormat="1" ht="24" customHeight="1">
      <c r="K1155" s="255" t="s">
        <v>757</v>
      </c>
      <c r="L1155" s="285">
        <f t="shared" ref="L1155" si="444">L985</f>
        <v>57305</v>
      </c>
      <c r="M1155" s="285">
        <f t="shared" ref="M1155:T1155" si="445">M985</f>
        <v>24940</v>
      </c>
      <c r="N1155" s="286">
        <f t="shared" si="445"/>
        <v>-50768</v>
      </c>
      <c r="O1155" s="286">
        <f t="shared" ref="O1155" si="446">O985</f>
        <v>-83383</v>
      </c>
      <c r="P1155" s="271">
        <f t="shared" ref="P1155:S1155" si="447">P985</f>
        <v>5296</v>
      </c>
      <c r="Q1155" s="271">
        <f t="shared" si="447"/>
        <v>9412</v>
      </c>
      <c r="R1155" s="271">
        <f t="shared" si="447"/>
        <v>4879</v>
      </c>
      <c r="S1155" s="271">
        <f t="shared" si="447"/>
        <v>-5372</v>
      </c>
      <c r="T1155" s="271">
        <f t="shared" si="445"/>
        <v>-11390</v>
      </c>
      <c r="U1155" s="542"/>
    </row>
    <row r="1156" spans="11:28" s="255" customFormat="1" ht="24" customHeight="1">
      <c r="K1156" s="255" t="s">
        <v>586</v>
      </c>
      <c r="L1156" s="285">
        <f t="shared" ref="L1156" si="448">L1010</f>
        <v>1821</v>
      </c>
      <c r="M1156" s="285">
        <f t="shared" ref="M1156:T1156" si="449">M1010</f>
        <v>0</v>
      </c>
      <c r="N1156" s="286">
        <f t="shared" si="449"/>
        <v>30</v>
      </c>
      <c r="O1156" s="286">
        <f t="shared" ref="O1156" si="450">O1010</f>
        <v>0</v>
      </c>
      <c r="P1156" s="271">
        <f t="shared" ref="P1156:S1156" si="451">P1010</f>
        <v>30</v>
      </c>
      <c r="Q1156" s="271">
        <f t="shared" si="451"/>
        <v>0</v>
      </c>
      <c r="R1156" s="271">
        <f t="shared" si="451"/>
        <v>0</v>
      </c>
      <c r="S1156" s="271">
        <f t="shared" si="451"/>
        <v>0</v>
      </c>
      <c r="T1156" s="271">
        <f t="shared" si="449"/>
        <v>0</v>
      </c>
      <c r="U1156" s="542"/>
    </row>
    <row r="1157" spans="11:28" s="255" customFormat="1" ht="24" customHeight="1">
      <c r="K1157" s="255" t="s">
        <v>907</v>
      </c>
      <c r="L1157" s="303">
        <f>L1030</f>
        <v>8896</v>
      </c>
      <c r="M1157" s="303">
        <f>M1030</f>
        <v>11182</v>
      </c>
      <c r="N1157" s="304">
        <f t="shared" ref="N1157:O1157" si="452">N1030</f>
        <v>-34995</v>
      </c>
      <c r="O1157" s="304">
        <f t="shared" si="452"/>
        <v>-35005</v>
      </c>
      <c r="P1157" s="307">
        <f t="shared" ref="P1157:R1157" si="453">P1030</f>
        <v>8125</v>
      </c>
      <c r="Q1157" s="307">
        <f t="shared" si="453"/>
        <v>10</v>
      </c>
      <c r="R1157" s="307">
        <f t="shared" si="453"/>
        <v>0</v>
      </c>
      <c r="S1157" s="307">
        <f>S1030</f>
        <v>0</v>
      </c>
      <c r="T1157" s="307">
        <f>T1030</f>
        <v>0</v>
      </c>
      <c r="U1157" s="542"/>
    </row>
    <row r="1158" spans="11:28" s="255" customFormat="1" ht="24" customHeight="1">
      <c r="L1158" s="285"/>
      <c r="M1158" s="285"/>
      <c r="N1158" s="272"/>
      <c r="O1158" s="272"/>
      <c r="P1158" s="271"/>
      <c r="Q1158" s="271"/>
      <c r="R1158" s="271"/>
      <c r="S1158" s="271"/>
      <c r="T1158" s="271"/>
      <c r="U1158" s="542"/>
    </row>
    <row r="1159" spans="11:28" s="255" customFormat="1" ht="24" customHeight="1">
      <c r="K1159" s="324"/>
      <c r="L1159" s="290">
        <f>SUM(L1155:L1158)</f>
        <v>68022</v>
      </c>
      <c r="M1159" s="290">
        <f>SUM(M1155:M1158)</f>
        <v>36122</v>
      </c>
      <c r="N1159" s="274">
        <f t="shared" ref="N1159:O1159" si="454">SUM(N1155:N1158)</f>
        <v>-85733</v>
      </c>
      <c r="O1159" s="274">
        <f t="shared" si="454"/>
        <v>-118388</v>
      </c>
      <c r="P1159" s="273">
        <f t="shared" ref="P1159:R1159" si="455">SUM(P1155:P1158)</f>
        <v>13451</v>
      </c>
      <c r="Q1159" s="273">
        <f t="shared" si="455"/>
        <v>9422</v>
      </c>
      <c r="R1159" s="273">
        <f t="shared" si="455"/>
        <v>4879</v>
      </c>
      <c r="S1159" s="273">
        <f>SUM(S1155:S1158)</f>
        <v>-5372</v>
      </c>
      <c r="T1159" s="273">
        <f>SUM(T1155:T1158)</f>
        <v>-11390</v>
      </c>
      <c r="U1159" s="542"/>
      <c r="V1159" s="697"/>
    </row>
    <row r="1160" spans="11:28" s="379" customFormat="1" ht="24" hidden="1" customHeight="1">
      <c r="L1160" s="382">
        <f t="shared" ref="L1160:T1160" si="456">L985+L1010+L1030</f>
        <v>68022</v>
      </c>
      <c r="M1160" s="382">
        <f t="shared" si="456"/>
        <v>36122</v>
      </c>
      <c r="N1160" s="382">
        <f t="shared" si="456"/>
        <v>-85733</v>
      </c>
      <c r="O1160" s="382">
        <f t="shared" ref="O1160" si="457">O985+O1010+O1030</f>
        <v>-118388</v>
      </c>
      <c r="P1160" s="382">
        <f t="shared" si="456"/>
        <v>13451</v>
      </c>
      <c r="Q1160" s="382">
        <f t="shared" si="456"/>
        <v>9422</v>
      </c>
      <c r="R1160" s="382">
        <f t="shared" si="456"/>
        <v>4879</v>
      </c>
      <c r="S1160" s="382">
        <f t="shared" si="456"/>
        <v>-5372</v>
      </c>
      <c r="T1160" s="382">
        <f t="shared" si="456"/>
        <v>-11390</v>
      </c>
      <c r="U1160" s="541"/>
      <c r="V1160" s="744" t="s">
        <v>1128</v>
      </c>
    </row>
    <row r="1161" spans="11:28" s="379" customFormat="1" ht="24" hidden="1" customHeight="1">
      <c r="L1161" s="381">
        <f t="shared" ref="L1161" si="458">L1159-L1160</f>
        <v>0</v>
      </c>
      <c r="M1161" s="381">
        <f t="shared" ref="M1161:T1161" si="459">M1159-M1160</f>
        <v>0</v>
      </c>
      <c r="N1161" s="381">
        <f t="shared" si="459"/>
        <v>0</v>
      </c>
      <c r="O1161" s="381">
        <f t="shared" ref="O1161" si="460">O1159-O1160</f>
        <v>0</v>
      </c>
      <c r="P1161" s="381">
        <f t="shared" ref="P1161:S1161" si="461">P1159-P1160</f>
        <v>0</v>
      </c>
      <c r="Q1161" s="381">
        <f t="shared" si="461"/>
        <v>0</v>
      </c>
      <c r="R1161" s="381">
        <f t="shared" si="461"/>
        <v>0</v>
      </c>
      <c r="S1161" s="381">
        <f t="shared" si="461"/>
        <v>0</v>
      </c>
      <c r="T1161" s="381">
        <f t="shared" si="459"/>
        <v>0</v>
      </c>
      <c r="U1161" s="541"/>
      <c r="V1161" s="744"/>
    </row>
    <row r="1162" spans="11:28" s="255" customFormat="1" ht="24" customHeight="1">
      <c r="L1162" s="271"/>
      <c r="M1162" s="271"/>
      <c r="N1162" s="272"/>
      <c r="O1162" s="272"/>
      <c r="P1162" s="271"/>
      <c r="Q1162" s="271"/>
      <c r="R1162" s="271"/>
      <c r="S1162" s="271"/>
      <c r="T1162" s="271"/>
      <c r="U1162" s="542"/>
      <c r="V1162" s="743"/>
      <c r="W1162" s="743"/>
      <c r="X1162" s="743"/>
      <c r="Y1162" s="743"/>
      <c r="Z1162" s="743"/>
      <c r="AA1162" s="385"/>
      <c r="AB1162" s="697"/>
    </row>
    <row r="1163" spans="11:28" s="439" customFormat="1" ht="24" customHeight="1">
      <c r="K1163" s="440" t="s">
        <v>964</v>
      </c>
      <c r="L1163" s="441"/>
      <c r="M1163" s="441"/>
      <c r="N1163" s="442"/>
      <c r="O1163" s="442"/>
      <c r="P1163" s="441"/>
      <c r="Q1163" s="441"/>
      <c r="R1163" s="441"/>
      <c r="S1163" s="441"/>
      <c r="T1163" s="441"/>
      <c r="U1163" s="443"/>
      <c r="V1163" s="716"/>
      <c r="W1163" s="716"/>
      <c r="X1163" s="716"/>
      <c r="Y1163" s="716"/>
      <c r="Z1163" s="716"/>
      <c r="AA1163" s="717"/>
    </row>
    <row r="1164" spans="11:28" s="255" customFormat="1" ht="24" customHeight="1">
      <c r="K1164" s="255" t="s">
        <v>757</v>
      </c>
      <c r="L1164" s="285">
        <f t="shared" ref="L1164" si="462">L987</f>
        <v>446136</v>
      </c>
      <c r="M1164" s="285">
        <f t="shared" ref="M1164:T1164" si="463">M987</f>
        <v>471076</v>
      </c>
      <c r="N1164" s="286">
        <f t="shared" si="463"/>
        <v>354783</v>
      </c>
      <c r="O1164" s="286">
        <f t="shared" ref="O1164" si="464">O987</f>
        <v>387693</v>
      </c>
      <c r="P1164" s="271">
        <f t="shared" ref="P1164:S1164" si="465">P987</f>
        <v>392989</v>
      </c>
      <c r="Q1164" s="271">
        <f t="shared" si="465"/>
        <v>402401</v>
      </c>
      <c r="R1164" s="271">
        <f t="shared" si="465"/>
        <v>407280</v>
      </c>
      <c r="S1164" s="271">
        <f t="shared" si="465"/>
        <v>401908</v>
      </c>
      <c r="T1164" s="271">
        <f t="shared" si="463"/>
        <v>390518</v>
      </c>
      <c r="U1164" s="542"/>
      <c r="V1164" s="516"/>
      <c r="W1164" s="516"/>
      <c r="X1164" s="516"/>
      <c r="Y1164" s="516"/>
      <c r="Z1164" s="591"/>
      <c r="AA1164" s="717"/>
      <c r="AB1164" s="697"/>
    </row>
    <row r="1165" spans="11:28" s="255" customFormat="1" ht="24" customHeight="1">
      <c r="K1165" s="255" t="s">
        <v>586</v>
      </c>
      <c r="L1165" s="285">
        <f t="shared" ref="L1165" si="466">L1012</f>
        <v>0</v>
      </c>
      <c r="M1165" s="285">
        <f t="shared" ref="M1165:T1165" si="467">M1012</f>
        <v>0</v>
      </c>
      <c r="N1165" s="286">
        <f t="shared" si="467"/>
        <v>30</v>
      </c>
      <c r="O1165" s="286">
        <f t="shared" ref="O1165" si="468">O1012</f>
        <v>0</v>
      </c>
      <c r="P1165" s="271">
        <f t="shared" ref="P1165:S1165" si="469">P1012</f>
        <v>30</v>
      </c>
      <c r="Q1165" s="271">
        <f t="shared" si="469"/>
        <v>30</v>
      </c>
      <c r="R1165" s="271">
        <f t="shared" si="469"/>
        <v>30</v>
      </c>
      <c r="S1165" s="271">
        <f t="shared" si="469"/>
        <v>30</v>
      </c>
      <c r="T1165" s="271">
        <f t="shared" si="467"/>
        <v>30</v>
      </c>
      <c r="U1165" s="542"/>
      <c r="V1165" s="516"/>
      <c r="W1165" s="516"/>
      <c r="X1165" s="516"/>
      <c r="Y1165" s="516"/>
      <c r="Z1165" s="516"/>
      <c r="AA1165" s="717"/>
      <c r="AB1165" s="697"/>
    </row>
    <row r="1166" spans="11:28" s="255" customFormat="1" ht="24" customHeight="1">
      <c r="K1166" s="255" t="s">
        <v>907</v>
      </c>
      <c r="L1166" s="303">
        <f>L1032</f>
        <v>15689</v>
      </c>
      <c r="M1166" s="303">
        <f>M1032</f>
        <v>26870</v>
      </c>
      <c r="N1166" s="304">
        <f t="shared" ref="N1166:O1166" si="470">N1032</f>
        <v>0</v>
      </c>
      <c r="O1166" s="304">
        <f t="shared" si="470"/>
        <v>-8135</v>
      </c>
      <c r="P1166" s="307">
        <f t="shared" ref="P1166:R1166" si="471">P1032</f>
        <v>-10</v>
      </c>
      <c r="Q1166" s="307">
        <f t="shared" si="471"/>
        <v>0</v>
      </c>
      <c r="R1166" s="307">
        <f t="shared" si="471"/>
        <v>0</v>
      </c>
      <c r="S1166" s="307">
        <f>S1032</f>
        <v>0</v>
      </c>
      <c r="T1166" s="307">
        <f>T1032</f>
        <v>0</v>
      </c>
      <c r="U1166" s="542"/>
      <c r="V1166" s="516"/>
      <c r="W1166" s="516"/>
      <c r="X1166" s="516"/>
      <c r="Y1166" s="516"/>
      <c r="Z1166" s="516"/>
      <c r="AA1166" s="717"/>
      <c r="AB1166" s="697"/>
    </row>
    <row r="1167" spans="11:28" s="255" customFormat="1" ht="24" customHeight="1">
      <c r="L1167" s="285"/>
      <c r="M1167" s="285"/>
      <c r="N1167" s="272"/>
      <c r="O1167" s="272"/>
      <c r="P1167" s="271"/>
      <c r="Q1167" s="271"/>
      <c r="R1167" s="271"/>
      <c r="S1167" s="271"/>
      <c r="T1167" s="271"/>
      <c r="U1167" s="542"/>
      <c r="V1167" s="516"/>
      <c r="W1167" s="516"/>
      <c r="X1167" s="516"/>
      <c r="Y1167" s="516"/>
      <c r="Z1167" s="516"/>
      <c r="AA1167" s="717"/>
      <c r="AB1167" s="697"/>
    </row>
    <row r="1168" spans="11:28" s="255" customFormat="1" ht="24" customHeight="1">
      <c r="L1168" s="290">
        <f>SUM(L1164:L1167)</f>
        <v>461825</v>
      </c>
      <c r="M1168" s="290">
        <f>SUM(M1164:M1167)</f>
        <v>497946</v>
      </c>
      <c r="N1168" s="274">
        <f>SUM(N1164:N1167)</f>
        <v>354813</v>
      </c>
      <c r="O1168" s="274">
        <f t="shared" ref="O1168" si="472">SUM(O1164:O1167)</f>
        <v>379558</v>
      </c>
      <c r="P1168" s="273">
        <f t="shared" ref="P1168:R1168" si="473">SUM(P1164:P1167)</f>
        <v>393009</v>
      </c>
      <c r="Q1168" s="273">
        <f t="shared" si="473"/>
        <v>402431</v>
      </c>
      <c r="R1168" s="273">
        <f t="shared" si="473"/>
        <v>407310</v>
      </c>
      <c r="S1168" s="273">
        <f>SUM(S1164:S1167)</f>
        <v>401938</v>
      </c>
      <c r="T1168" s="273">
        <f>SUM(T1164:T1167)</f>
        <v>390548</v>
      </c>
      <c r="U1168" s="542"/>
      <c r="V1168" s="516"/>
      <c r="W1168" s="516"/>
      <c r="X1168" s="516"/>
      <c r="Y1168" s="591"/>
      <c r="Z1168" s="591"/>
      <c r="AA1168" s="719"/>
      <c r="AB1168" s="324"/>
    </row>
    <row r="1169" spans="1:31" s="379" customFormat="1" ht="24" hidden="1" customHeight="1">
      <c r="L1169" s="381">
        <f t="shared" ref="L1169:T1169" si="474">L987+L1012+L1032</f>
        <v>461825</v>
      </c>
      <c r="M1169" s="381">
        <f t="shared" si="474"/>
        <v>497946</v>
      </c>
      <c r="N1169" s="381">
        <f t="shared" si="474"/>
        <v>354813</v>
      </c>
      <c r="O1169" s="381">
        <f t="shared" ref="O1169" si="475">O987+O1012+O1032</f>
        <v>379558</v>
      </c>
      <c r="P1169" s="381">
        <f t="shared" si="474"/>
        <v>393009</v>
      </c>
      <c r="Q1169" s="381">
        <f t="shared" si="474"/>
        <v>402431</v>
      </c>
      <c r="R1169" s="381">
        <f t="shared" si="474"/>
        <v>407310</v>
      </c>
      <c r="S1169" s="381">
        <f t="shared" si="474"/>
        <v>401938</v>
      </c>
      <c r="T1169" s="381">
        <f t="shared" si="474"/>
        <v>390548</v>
      </c>
      <c r="U1169" s="541"/>
      <c r="V1169" s="744"/>
      <c r="Z1169" s="531"/>
      <c r="AA1169" s="383"/>
    </row>
    <row r="1170" spans="1:31" s="379" customFormat="1" ht="24" hidden="1" customHeight="1">
      <c r="L1170" s="381">
        <f t="shared" ref="L1170" si="476">L1168-L1169</f>
        <v>0</v>
      </c>
      <c r="M1170" s="381">
        <f t="shared" ref="M1170:T1170" si="477">M1168-M1169</f>
        <v>0</v>
      </c>
      <c r="N1170" s="381">
        <f t="shared" si="477"/>
        <v>0</v>
      </c>
      <c r="O1170" s="381">
        <f t="shared" ref="O1170" si="478">O1168-O1169</f>
        <v>0</v>
      </c>
      <c r="P1170" s="381">
        <f t="shared" ref="P1170:S1170" si="479">P1168-P1169</f>
        <v>0</v>
      </c>
      <c r="Q1170" s="381">
        <f t="shared" si="479"/>
        <v>0</v>
      </c>
      <c r="R1170" s="381">
        <f t="shared" si="479"/>
        <v>0</v>
      </c>
      <c r="S1170" s="381">
        <f t="shared" si="479"/>
        <v>0</v>
      </c>
      <c r="T1170" s="381">
        <f t="shared" si="477"/>
        <v>0</v>
      </c>
      <c r="U1170" s="541"/>
      <c r="V1170" s="744"/>
      <c r="Z1170" s="380"/>
      <c r="AD1170" s="383"/>
      <c r="AE1170" s="531"/>
    </row>
    <row r="1171" spans="1:31" s="255" customFormat="1" ht="24" customHeight="1">
      <c r="L1171" s="271"/>
      <c r="M1171" s="271"/>
      <c r="N1171" s="272"/>
      <c r="O1171" s="272"/>
      <c r="P1171" s="271"/>
      <c r="Q1171" s="271"/>
      <c r="R1171" s="271"/>
      <c r="S1171" s="271"/>
      <c r="T1171" s="271"/>
      <c r="U1171" s="542"/>
      <c r="V1171" s="697"/>
    </row>
    <row r="1172" spans="1:31" s="379" customFormat="1" ht="24" customHeight="1">
      <c r="A1172" s="755" t="s">
        <v>1306</v>
      </c>
      <c r="B1172" s="755"/>
      <c r="C1172" s="755"/>
      <c r="D1172" s="755"/>
      <c r="E1172" s="755"/>
      <c r="F1172" s="755"/>
      <c r="G1172" s="755"/>
      <c r="H1172" s="755"/>
      <c r="I1172" s="755"/>
      <c r="J1172" s="755"/>
      <c r="K1172" s="755"/>
      <c r="L1172" s="381"/>
      <c r="M1172" s="381"/>
      <c r="N1172" s="381"/>
      <c r="O1172" s="381"/>
      <c r="P1172" s="381"/>
      <c r="Q1172" s="381"/>
      <c r="R1172" s="381"/>
      <c r="S1172" s="381"/>
      <c r="T1172" s="381"/>
      <c r="U1172" s="541"/>
    </row>
    <row r="1173" spans="1:31" s="255" customFormat="1" ht="24" customHeight="1">
      <c r="K1173" s="255" t="s">
        <v>766</v>
      </c>
      <c r="L1173" s="285">
        <f t="shared" ref="L1173:T1173" si="480">L241+L589+L693+L954</f>
        <v>273501</v>
      </c>
      <c r="M1173" s="285">
        <f t="shared" si="480"/>
        <v>307412</v>
      </c>
      <c r="N1173" s="286">
        <f t="shared" si="480"/>
        <v>337820</v>
      </c>
      <c r="O1173" s="286">
        <f t="shared" si="480"/>
        <v>309500</v>
      </c>
      <c r="P1173" s="285">
        <f t="shared" si="480"/>
        <v>332708</v>
      </c>
      <c r="Q1173" s="285">
        <f t="shared" si="480"/>
        <v>352671</v>
      </c>
      <c r="R1173" s="285">
        <f t="shared" si="480"/>
        <v>373832</v>
      </c>
      <c r="S1173" s="285">
        <f t="shared" si="480"/>
        <v>396262</v>
      </c>
      <c r="T1173" s="285">
        <f t="shared" si="480"/>
        <v>420037</v>
      </c>
      <c r="U1173" s="542"/>
      <c r="V1173" s="697"/>
    </row>
    <row r="1174" spans="1:31" s="255" customFormat="1" ht="24" customHeight="1">
      <c r="L1174" s="271"/>
      <c r="M1174" s="271"/>
      <c r="N1174" s="272"/>
      <c r="O1174" s="272"/>
      <c r="P1174" s="271"/>
      <c r="Q1174" s="271"/>
      <c r="R1174" s="271"/>
      <c r="S1174" s="271"/>
      <c r="T1174" s="271"/>
      <c r="U1174" s="542"/>
    </row>
    <row r="1175" spans="1:31" s="255" customFormat="1" ht="24" customHeight="1">
      <c r="K1175" s="255" t="s">
        <v>767</v>
      </c>
      <c r="L1175" s="285">
        <f t="shared" ref="L1175:T1175" si="481">L240+L588+L692+L953</f>
        <v>11036</v>
      </c>
      <c r="M1175" s="285">
        <f t="shared" si="481"/>
        <v>6798</v>
      </c>
      <c r="N1175" s="286">
        <f t="shared" si="481"/>
        <v>37500</v>
      </c>
      <c r="O1175" s="286">
        <f t="shared" si="481"/>
        <v>7950</v>
      </c>
      <c r="P1175" s="271">
        <f t="shared" si="481"/>
        <v>25500</v>
      </c>
      <c r="Q1175" s="271">
        <f t="shared" si="481"/>
        <v>25000</v>
      </c>
      <c r="R1175" s="271">
        <f t="shared" si="481"/>
        <v>25000</v>
      </c>
      <c r="S1175" s="271">
        <f t="shared" si="481"/>
        <v>25000</v>
      </c>
      <c r="T1175" s="271">
        <f t="shared" si="481"/>
        <v>25000</v>
      </c>
      <c r="U1175" s="542"/>
      <c r="V1175" s="697"/>
    </row>
    <row r="1176" spans="1:31" s="255" customFormat="1" ht="24" customHeight="1">
      <c r="L1176" s="285"/>
      <c r="M1176" s="285"/>
      <c r="N1176" s="286"/>
      <c r="O1176" s="286"/>
      <c r="P1176" s="271"/>
      <c r="Q1176" s="271"/>
      <c r="R1176" s="271"/>
      <c r="S1176" s="271"/>
      <c r="T1176" s="271"/>
      <c r="U1176" s="542"/>
    </row>
    <row r="1177" spans="1:31" s="255" customFormat="1" ht="24" customHeight="1">
      <c r="E1177" s="261"/>
      <c r="F1177" s="261"/>
      <c r="G1177" s="261"/>
      <c r="H1177" s="261"/>
      <c r="I1177" s="749" t="s">
        <v>819</v>
      </c>
      <c r="J1177" s="749"/>
      <c r="K1177" s="261" t="s">
        <v>768</v>
      </c>
      <c r="L1177" s="271">
        <f t="shared" ref="L1177:T1177" si="482">L75+L79+L107+L135+L173+L203+L584+L688+L811+L841+L901+L242</f>
        <v>1107690</v>
      </c>
      <c r="M1177" s="271">
        <f t="shared" si="482"/>
        <v>1126101</v>
      </c>
      <c r="N1177" s="272">
        <f t="shared" si="482"/>
        <v>1415113</v>
      </c>
      <c r="O1177" s="272">
        <f t="shared" si="482"/>
        <v>1415113</v>
      </c>
      <c r="P1177" s="271">
        <f t="shared" si="482"/>
        <v>1405569</v>
      </c>
      <c r="Q1177" s="271">
        <f t="shared" si="482"/>
        <v>1506404</v>
      </c>
      <c r="R1177" s="271">
        <f t="shared" si="482"/>
        <v>1626917</v>
      </c>
      <c r="S1177" s="271">
        <f t="shared" si="482"/>
        <v>1757071</v>
      </c>
      <c r="T1177" s="271">
        <f t="shared" si="482"/>
        <v>1897637</v>
      </c>
      <c r="U1177" s="542"/>
    </row>
    <row r="1178" spans="1:31" s="255" customFormat="1" ht="24" customHeight="1">
      <c r="K1178" s="633" t="s">
        <v>822</v>
      </c>
      <c r="L1178" s="492">
        <f t="shared" ref="L1178" si="483">-L49</f>
        <v>-57824</v>
      </c>
      <c r="M1178" s="492">
        <f>-M49</f>
        <v>0</v>
      </c>
      <c r="N1178" s="497">
        <f>-N49</f>
        <v>0</v>
      </c>
      <c r="O1178" s="497">
        <f>-O49</f>
        <v>0</v>
      </c>
      <c r="P1178" s="492">
        <f t="shared" ref="P1178:S1178" si="484">-P49</f>
        <v>0</v>
      </c>
      <c r="Q1178" s="492">
        <f t="shared" si="484"/>
        <v>0</v>
      </c>
      <c r="R1178" s="492">
        <f t="shared" si="484"/>
        <v>0</v>
      </c>
      <c r="S1178" s="492">
        <f t="shared" si="484"/>
        <v>0</v>
      </c>
      <c r="T1178" s="492">
        <f>-T49</f>
        <v>0</v>
      </c>
      <c r="U1178" s="542"/>
    </row>
    <row r="1179" spans="1:31" s="255" customFormat="1" ht="24" customHeight="1">
      <c r="K1179" s="633" t="s">
        <v>820</v>
      </c>
      <c r="L1179" s="493">
        <f t="shared" ref="L1179:T1179" si="485">-L50+-L568+-L676+-L794</f>
        <v>-92221</v>
      </c>
      <c r="M1179" s="493">
        <f t="shared" si="485"/>
        <v>0</v>
      </c>
      <c r="N1179" s="498">
        <f t="shared" si="485"/>
        <v>0</v>
      </c>
      <c r="O1179" s="498">
        <f t="shared" si="485"/>
        <v>0</v>
      </c>
      <c r="P1179" s="493">
        <f t="shared" si="485"/>
        <v>0</v>
      </c>
      <c r="Q1179" s="493">
        <f t="shared" si="485"/>
        <v>0</v>
      </c>
      <c r="R1179" s="493">
        <f t="shared" si="485"/>
        <v>0</v>
      </c>
      <c r="S1179" s="493">
        <f t="shared" si="485"/>
        <v>0</v>
      </c>
      <c r="T1179" s="493">
        <f t="shared" si="485"/>
        <v>0</v>
      </c>
      <c r="U1179" s="542"/>
    </row>
    <row r="1180" spans="1:31" s="255" customFormat="1" ht="24" customHeight="1">
      <c r="E1180" s="261"/>
      <c r="F1180" s="261"/>
      <c r="G1180" s="261"/>
      <c r="H1180" s="261"/>
      <c r="I1180" s="749" t="s">
        <v>819</v>
      </c>
      <c r="J1180" s="749"/>
      <c r="K1180" s="324" t="s">
        <v>821</v>
      </c>
      <c r="L1180" s="273">
        <f>SUM(L1177:L1179)</f>
        <v>957645</v>
      </c>
      <c r="M1180" s="273">
        <f>SUM(M1177:M1179)</f>
        <v>1126101</v>
      </c>
      <c r="N1180" s="274">
        <f>SUM(N1177:N1179)</f>
        <v>1415113</v>
      </c>
      <c r="O1180" s="274">
        <f t="shared" ref="O1180" si="486">SUM(O1177:O1179)</f>
        <v>1415113</v>
      </c>
      <c r="P1180" s="273">
        <f t="shared" ref="P1180:S1180" si="487">SUM(P1177:P1179)</f>
        <v>1405569</v>
      </c>
      <c r="Q1180" s="273">
        <f t="shared" si="487"/>
        <v>1506404</v>
      </c>
      <c r="R1180" s="273">
        <f t="shared" si="487"/>
        <v>1626917</v>
      </c>
      <c r="S1180" s="273">
        <f t="shared" si="487"/>
        <v>1757071</v>
      </c>
      <c r="T1180" s="273">
        <f>SUM(T1177:T1179)</f>
        <v>1897637</v>
      </c>
      <c r="U1180" s="542"/>
      <c r="V1180" s="697"/>
    </row>
    <row r="1181" spans="1:31" s="255" customFormat="1" ht="24" customHeight="1">
      <c r="J1181" s="344"/>
      <c r="L1181" s="285"/>
      <c r="M1181" s="285"/>
      <c r="N1181" s="272"/>
      <c r="O1181" s="272"/>
      <c r="P1181" s="271"/>
      <c r="Q1181" s="271"/>
      <c r="R1181" s="271"/>
      <c r="S1181" s="271"/>
      <c r="T1181" s="271"/>
      <c r="U1181" s="542"/>
    </row>
    <row r="1182" spans="1:31" s="255" customFormat="1" ht="24" customHeight="1">
      <c r="E1182" s="261"/>
      <c r="F1182" s="261"/>
      <c r="G1182" s="261"/>
      <c r="H1182" s="261"/>
      <c r="I1182" s="749" t="s">
        <v>819</v>
      </c>
      <c r="J1182" s="749"/>
      <c r="K1182" s="324" t="s">
        <v>769</v>
      </c>
      <c r="L1182" s="273">
        <f t="shared" ref="L1182:T1182" si="488">L77+L109+L137+L175+L205+L586+L690+L813+L843+L81+L243</f>
        <v>84511</v>
      </c>
      <c r="M1182" s="273">
        <f t="shared" si="488"/>
        <v>69860</v>
      </c>
      <c r="N1182" s="274">
        <f t="shared" si="488"/>
        <v>83555</v>
      </c>
      <c r="O1182" s="274">
        <f t="shared" si="488"/>
        <v>83384</v>
      </c>
      <c r="P1182" s="273">
        <f t="shared" si="488"/>
        <v>95270</v>
      </c>
      <c r="Q1182" s="273">
        <f t="shared" si="488"/>
        <v>99483</v>
      </c>
      <c r="R1182" s="273">
        <f t="shared" si="488"/>
        <v>104458</v>
      </c>
      <c r="S1182" s="273">
        <f t="shared" si="488"/>
        <v>109680</v>
      </c>
      <c r="T1182" s="273">
        <f t="shared" si="488"/>
        <v>115163</v>
      </c>
      <c r="U1182" s="542"/>
      <c r="V1182" s="697"/>
    </row>
    <row r="1183" spans="1:31" s="255" customFormat="1" ht="24" customHeight="1">
      <c r="J1183" s="344"/>
      <c r="L1183" s="285"/>
      <c r="M1183" s="285"/>
      <c r="N1183" s="272"/>
      <c r="O1183" s="272"/>
      <c r="P1183" s="271"/>
      <c r="Q1183" s="271"/>
      <c r="R1183" s="271"/>
      <c r="S1183" s="271"/>
      <c r="T1183" s="271"/>
      <c r="U1183" s="542"/>
    </row>
    <row r="1184" spans="1:31" s="255" customFormat="1" ht="24" customHeight="1">
      <c r="E1184" s="261"/>
      <c r="F1184" s="261"/>
      <c r="G1184" s="261"/>
      <c r="H1184" s="261"/>
      <c r="I1184" s="749" t="s">
        <v>819</v>
      </c>
      <c r="J1184" s="749"/>
      <c r="K1184" s="324" t="s">
        <v>770</v>
      </c>
      <c r="L1184" s="273">
        <f t="shared" ref="L1184:T1184" si="489">L78+L110+L138+L176+L206+L587+L691+L814+L844+L82+L244</f>
        <v>9276</v>
      </c>
      <c r="M1184" s="273">
        <f t="shared" si="489"/>
        <v>8961</v>
      </c>
      <c r="N1184" s="274">
        <f t="shared" si="489"/>
        <v>10342</v>
      </c>
      <c r="O1184" s="274">
        <f t="shared" si="489"/>
        <v>10140</v>
      </c>
      <c r="P1184" s="273">
        <f t="shared" si="489"/>
        <v>9875</v>
      </c>
      <c r="Q1184" s="273">
        <f t="shared" si="489"/>
        <v>10107</v>
      </c>
      <c r="R1184" s="273">
        <f t="shared" si="489"/>
        <v>10411</v>
      </c>
      <c r="S1184" s="273">
        <f t="shared" si="489"/>
        <v>10723</v>
      </c>
      <c r="T1184" s="273">
        <f t="shared" si="489"/>
        <v>11044</v>
      </c>
      <c r="U1184" s="542"/>
      <c r="V1184" s="697"/>
    </row>
    <row r="1185" spans="1:21" s="255" customFormat="1" ht="24" customHeight="1">
      <c r="I1185" s="345"/>
      <c r="J1185" s="345"/>
      <c r="K1185" s="345"/>
      <c r="L1185" s="285"/>
      <c r="M1185" s="285"/>
      <c r="N1185" s="286"/>
      <c r="O1185" s="286"/>
      <c r="P1185" s="271"/>
      <c r="Q1185" s="271"/>
      <c r="R1185" s="271"/>
      <c r="S1185" s="271"/>
      <c r="T1185" s="271"/>
      <c r="U1185" s="542"/>
    </row>
    <row r="1186" spans="1:21" s="255" customFormat="1" ht="24" customHeight="1">
      <c r="I1186" s="750" t="s">
        <v>756</v>
      </c>
      <c r="J1186" s="750"/>
      <c r="K1186" s="261" t="s">
        <v>768</v>
      </c>
      <c r="L1186" s="285">
        <f t="shared" ref="L1186" si="490">L949</f>
        <v>85076</v>
      </c>
      <c r="M1186" s="285">
        <f>M949</f>
        <v>81269</v>
      </c>
      <c r="N1186" s="272">
        <f>N949</f>
        <v>101904</v>
      </c>
      <c r="O1186" s="272">
        <f t="shared" ref="O1186" si="491">O949</f>
        <v>101904</v>
      </c>
      <c r="P1186" s="271">
        <f t="shared" ref="P1186:S1186" si="492">P949</f>
        <v>78823</v>
      </c>
      <c r="Q1186" s="271">
        <f t="shared" si="492"/>
        <v>85129</v>
      </c>
      <c r="R1186" s="271">
        <f t="shared" si="492"/>
        <v>91939</v>
      </c>
      <c r="S1186" s="271">
        <f t="shared" si="492"/>
        <v>99294</v>
      </c>
      <c r="T1186" s="271">
        <f>T949</f>
        <v>107238</v>
      </c>
      <c r="U1186" s="542"/>
    </row>
    <row r="1187" spans="1:21" s="255" customFormat="1" ht="24" customHeight="1">
      <c r="I1187" s="754" t="s">
        <v>823</v>
      </c>
      <c r="J1187" s="754"/>
      <c r="K1187" s="255" t="s">
        <v>820</v>
      </c>
      <c r="L1187" s="493">
        <f>-L935</f>
        <v>-8685</v>
      </c>
      <c r="M1187" s="493">
        <f t="shared" ref="M1187:T1187" si="493">-M935</f>
        <v>0</v>
      </c>
      <c r="N1187" s="498">
        <f t="shared" si="493"/>
        <v>0</v>
      </c>
      <c r="O1187" s="498">
        <f t="shared" si="493"/>
        <v>0</v>
      </c>
      <c r="P1187" s="493">
        <f t="shared" si="493"/>
        <v>0</v>
      </c>
      <c r="Q1187" s="493">
        <f t="shared" si="493"/>
        <v>0</v>
      </c>
      <c r="R1187" s="493">
        <f t="shared" si="493"/>
        <v>0</v>
      </c>
      <c r="S1187" s="493">
        <f t="shared" si="493"/>
        <v>0</v>
      </c>
      <c r="T1187" s="493">
        <f t="shared" si="493"/>
        <v>0</v>
      </c>
      <c r="U1187" s="542"/>
    </row>
    <row r="1188" spans="1:21" s="324" customFormat="1" ht="24" customHeight="1">
      <c r="I1188" s="752" t="s">
        <v>823</v>
      </c>
      <c r="J1188" s="752"/>
      <c r="K1188" s="324" t="s">
        <v>821</v>
      </c>
      <c r="L1188" s="273">
        <f>L1186+L1187</f>
        <v>76391</v>
      </c>
      <c r="M1188" s="273">
        <f t="shared" ref="M1188:T1188" si="494">M1186+M1187</f>
        <v>81269</v>
      </c>
      <c r="N1188" s="274">
        <f t="shared" si="494"/>
        <v>101904</v>
      </c>
      <c r="O1188" s="274">
        <f t="shared" si="494"/>
        <v>101904</v>
      </c>
      <c r="P1188" s="273">
        <f t="shared" si="494"/>
        <v>78823</v>
      </c>
      <c r="Q1188" s="273">
        <f t="shared" si="494"/>
        <v>85129</v>
      </c>
      <c r="R1188" s="273">
        <f t="shared" si="494"/>
        <v>91939</v>
      </c>
      <c r="S1188" s="273">
        <f t="shared" si="494"/>
        <v>99294</v>
      </c>
      <c r="T1188" s="273">
        <f t="shared" si="494"/>
        <v>107238</v>
      </c>
      <c r="U1188" s="540"/>
    </row>
    <row r="1189" spans="1:21" s="324" customFormat="1" ht="24" customHeight="1">
      <c r="I1189" s="389"/>
      <c r="J1189" s="389"/>
      <c r="L1189" s="273"/>
      <c r="M1189" s="273"/>
      <c r="N1189" s="274"/>
      <c r="O1189" s="274"/>
      <c r="P1189" s="273"/>
      <c r="Q1189" s="273"/>
      <c r="R1189" s="273"/>
      <c r="S1189" s="273"/>
      <c r="T1189" s="273"/>
      <c r="U1189" s="540"/>
    </row>
    <row r="1190" spans="1:21" s="324" customFormat="1" ht="24" customHeight="1">
      <c r="I1190" s="389"/>
      <c r="J1190" s="389"/>
      <c r="K1190" s="324" t="s">
        <v>769</v>
      </c>
      <c r="L1190" s="273">
        <f t="shared" ref="L1190" si="495">L951</f>
        <v>5950</v>
      </c>
      <c r="M1190" s="273">
        <f>M951</f>
        <v>5092</v>
      </c>
      <c r="N1190" s="274">
        <f>N951</f>
        <v>5347</v>
      </c>
      <c r="O1190" s="274">
        <f t="shared" ref="O1190" si="496">O951</f>
        <v>5347</v>
      </c>
      <c r="P1190" s="273">
        <f t="shared" ref="P1190:S1190" si="497">P951</f>
        <v>4690</v>
      </c>
      <c r="Q1190" s="273">
        <f t="shared" si="497"/>
        <v>4925</v>
      </c>
      <c r="R1190" s="273">
        <f t="shared" si="497"/>
        <v>5171</v>
      </c>
      <c r="S1190" s="273">
        <f t="shared" si="497"/>
        <v>5430</v>
      </c>
      <c r="T1190" s="273">
        <f>T951</f>
        <v>5702</v>
      </c>
      <c r="U1190" s="400"/>
    </row>
    <row r="1191" spans="1:21" s="324" customFormat="1" ht="24" customHeight="1">
      <c r="I1191" s="389"/>
      <c r="J1191" s="389"/>
      <c r="L1191" s="273"/>
      <c r="M1191" s="273"/>
      <c r="N1191" s="274"/>
      <c r="O1191" s="274"/>
      <c r="P1191" s="273"/>
      <c r="Q1191" s="273"/>
      <c r="R1191" s="273"/>
      <c r="S1191" s="273"/>
      <c r="T1191" s="273"/>
      <c r="U1191" s="540"/>
    </row>
    <row r="1192" spans="1:21" s="324" customFormat="1" ht="24" customHeight="1">
      <c r="I1192" s="389"/>
      <c r="J1192" s="389"/>
      <c r="K1192" s="324" t="s">
        <v>770</v>
      </c>
      <c r="L1192" s="273">
        <f t="shared" ref="L1192" si="498">L952</f>
        <v>643</v>
      </c>
      <c r="M1192" s="273">
        <f>M952</f>
        <v>643</v>
      </c>
      <c r="N1192" s="274">
        <f>N952</f>
        <v>662</v>
      </c>
      <c r="O1192" s="274">
        <f t="shared" ref="O1192" si="499">O952</f>
        <v>662</v>
      </c>
      <c r="P1192" s="273">
        <f t="shared" ref="P1192:S1192" si="500">P952</f>
        <v>496</v>
      </c>
      <c r="Q1192" s="273">
        <f t="shared" si="500"/>
        <v>511</v>
      </c>
      <c r="R1192" s="273">
        <f t="shared" si="500"/>
        <v>526</v>
      </c>
      <c r="S1192" s="273">
        <f t="shared" si="500"/>
        <v>542</v>
      </c>
      <c r="T1192" s="273">
        <f>T952</f>
        <v>558</v>
      </c>
      <c r="U1192" s="540"/>
    </row>
    <row r="1193" spans="1:21" s="255" customFormat="1" ht="24" customHeight="1">
      <c r="I1193" s="344"/>
      <c r="J1193" s="344"/>
      <c r="L1193" s="285"/>
      <c r="M1193" s="285"/>
      <c r="N1193" s="272"/>
      <c r="O1193" s="272"/>
      <c r="P1193" s="271"/>
      <c r="Q1193" s="271"/>
      <c r="R1193" s="271"/>
      <c r="S1193" s="271"/>
      <c r="T1193" s="271"/>
      <c r="U1193" s="542"/>
    </row>
    <row r="1194" spans="1:21" s="379" customFormat="1" ht="24" customHeight="1">
      <c r="A1194" s="755" t="s">
        <v>1157</v>
      </c>
      <c r="B1194" s="755"/>
      <c r="C1194" s="755"/>
      <c r="D1194" s="755"/>
      <c r="E1194" s="755"/>
      <c r="F1194" s="755"/>
      <c r="G1194" s="755"/>
      <c r="H1194" s="755"/>
      <c r="I1194" s="755"/>
      <c r="J1194" s="755"/>
      <c r="K1194" s="755"/>
      <c r="L1194" s="382"/>
      <c r="M1194" s="382"/>
      <c r="N1194" s="381"/>
      <c r="O1194" s="381"/>
      <c r="P1194" s="381"/>
      <c r="Q1194" s="381"/>
      <c r="R1194" s="381"/>
      <c r="S1194" s="381"/>
      <c r="T1194" s="381"/>
      <c r="U1194" s="541"/>
    </row>
    <row r="1195" spans="1:21" s="255" customFormat="1" ht="24" customHeight="1">
      <c r="I1195" s="344"/>
      <c r="J1195" s="344"/>
      <c r="K1195" s="255" t="s">
        <v>1158</v>
      </c>
      <c r="L1195" s="285">
        <f t="shared" ref="L1195" si="501">L9</f>
        <v>2276807</v>
      </c>
      <c r="M1195" s="285">
        <f>M9</f>
        <v>2201759</v>
      </c>
      <c r="N1195" s="286">
        <f>N9</f>
        <v>2334190</v>
      </c>
      <c r="O1195" s="286">
        <f t="shared" ref="O1195" si="502">O9</f>
        <v>2277087</v>
      </c>
      <c r="P1195" s="285">
        <f t="shared" ref="P1195:S1195" si="503">P9</f>
        <v>2288200</v>
      </c>
      <c r="Q1195" s="285">
        <f t="shared" si="503"/>
        <v>2333964</v>
      </c>
      <c r="R1195" s="285">
        <f t="shared" si="503"/>
        <v>2250643</v>
      </c>
      <c r="S1195" s="285">
        <f t="shared" si="503"/>
        <v>2207656</v>
      </c>
      <c r="T1195" s="285">
        <f>T9</f>
        <v>2251809</v>
      </c>
      <c r="U1195" s="542"/>
    </row>
    <row r="1196" spans="1:21" s="255" customFormat="1" ht="24" customHeight="1">
      <c r="I1196" s="344"/>
      <c r="J1196" s="344"/>
      <c r="K1196" s="255" t="s">
        <v>1159</v>
      </c>
      <c r="L1196" s="303">
        <f t="shared" ref="L1196" si="504">L10</f>
        <v>438711</v>
      </c>
      <c r="M1196" s="303">
        <f>M10</f>
        <v>524120</v>
      </c>
      <c r="N1196" s="304">
        <f>N10</f>
        <v>614005</v>
      </c>
      <c r="O1196" s="304">
        <f t="shared" ref="O1196" si="505">O10</f>
        <v>624168</v>
      </c>
      <c r="P1196" s="303">
        <f t="shared" ref="P1196:S1196" si="506">P10</f>
        <v>728477</v>
      </c>
      <c r="Q1196" s="303">
        <f t="shared" si="506"/>
        <v>778477</v>
      </c>
      <c r="R1196" s="303">
        <f t="shared" si="506"/>
        <v>828477</v>
      </c>
      <c r="S1196" s="303">
        <f t="shared" si="506"/>
        <v>878477</v>
      </c>
      <c r="T1196" s="303">
        <f>T10</f>
        <v>928477</v>
      </c>
      <c r="U1196" s="398"/>
    </row>
    <row r="1197" spans="1:21" s="255" customFormat="1" ht="24" customHeight="1">
      <c r="I1197" s="344"/>
      <c r="J1197" s="344"/>
      <c r="L1197" s="285"/>
      <c r="M1197" s="285"/>
      <c r="N1197" s="286"/>
      <c r="O1197" s="286"/>
      <c r="P1197" s="285"/>
      <c r="Q1197" s="285"/>
      <c r="R1197" s="285"/>
      <c r="S1197" s="285"/>
      <c r="T1197" s="285"/>
      <c r="U1197" s="398"/>
    </row>
    <row r="1198" spans="1:21" s="341" customFormat="1" ht="24" customHeight="1">
      <c r="I1198" s="343"/>
      <c r="J1198" s="343"/>
      <c r="K1198" s="341" t="s">
        <v>1161</v>
      </c>
      <c r="L1198" s="312">
        <f>SUM(L1195:L1197)</f>
        <v>2715518</v>
      </c>
      <c r="M1198" s="312">
        <f t="shared" ref="M1198:T1198" si="507">SUM(M1195:M1197)</f>
        <v>2725879</v>
      </c>
      <c r="N1198" s="313">
        <f t="shared" si="507"/>
        <v>2948195</v>
      </c>
      <c r="O1198" s="313">
        <f t="shared" ref="O1198" si="508">SUM(O1195:O1197)</f>
        <v>2901255</v>
      </c>
      <c r="P1198" s="312">
        <f t="shared" ref="P1198:S1198" si="509">SUM(P1195:P1197)</f>
        <v>3016677</v>
      </c>
      <c r="Q1198" s="312">
        <f t="shared" si="509"/>
        <v>3112441</v>
      </c>
      <c r="R1198" s="312">
        <f t="shared" si="509"/>
        <v>3079120</v>
      </c>
      <c r="S1198" s="312">
        <f t="shared" si="509"/>
        <v>3086133</v>
      </c>
      <c r="T1198" s="312">
        <f t="shared" si="507"/>
        <v>3180286</v>
      </c>
      <c r="U1198" s="408"/>
    </row>
    <row r="1199" spans="1:21" s="341" customFormat="1" ht="24" customHeight="1">
      <c r="I1199" s="377"/>
      <c r="J1199" s="377"/>
      <c r="L1199" s="292">
        <f>(L1198-2642602)/2642602</f>
        <v>2.7592501632860339E-2</v>
      </c>
      <c r="M1199" s="292">
        <f>(M1198-L1198)/L1198</f>
        <v>3.8154782991679671E-3</v>
      </c>
      <c r="N1199" s="293">
        <f>(N1198-M1198)/M1198</f>
        <v>8.155754529089515E-2</v>
      </c>
      <c r="O1199" s="293">
        <f>(O1198-M1198)/M1198</f>
        <v>6.4337411895392271E-2</v>
      </c>
      <c r="P1199" s="292">
        <f>(P1198-O1198)/O1198</f>
        <v>3.978347301426452E-2</v>
      </c>
      <c r="Q1199" s="292">
        <f>(Q1198-P1198)/P1198</f>
        <v>3.1744863636378705E-2</v>
      </c>
      <c r="R1199" s="292">
        <f>(R1198-Q1198)/Q1198</f>
        <v>-1.0705745104887129E-2</v>
      </c>
      <c r="S1199" s="292">
        <f>(S1198-R1198)/R1198</f>
        <v>2.277598794460755E-3</v>
      </c>
      <c r="T1199" s="292">
        <f>(T1198-S1198)/S1198</f>
        <v>3.0508406475028782E-2</v>
      </c>
      <c r="U1199" s="408"/>
    </row>
    <row r="1200" spans="1:21" s="341" customFormat="1" ht="24" customHeight="1">
      <c r="I1200" s="377"/>
      <c r="J1200" s="377"/>
      <c r="L1200" s="312"/>
      <c r="M1200" s="312"/>
      <c r="N1200" s="313"/>
      <c r="O1200" s="313"/>
      <c r="P1200" s="312"/>
      <c r="Q1200" s="312"/>
      <c r="R1200" s="312"/>
      <c r="S1200" s="312"/>
      <c r="T1200" s="312"/>
      <c r="U1200" s="408"/>
    </row>
    <row r="1201" spans="1:22" s="255" customFormat="1" ht="24" customHeight="1">
      <c r="F1201" s="753" t="s">
        <v>785</v>
      </c>
      <c r="G1201" s="753"/>
      <c r="H1201" s="753"/>
      <c r="I1201" s="753"/>
      <c r="J1201" s="753"/>
      <c r="K1201" s="753"/>
      <c r="L1201" s="307">
        <f t="shared" ref="L1201:T1201" si="510">L524+L559+L665</f>
        <v>720098</v>
      </c>
      <c r="M1201" s="307">
        <f t="shared" si="510"/>
        <v>467794</v>
      </c>
      <c r="N1201" s="306">
        <f t="shared" si="510"/>
        <v>334814</v>
      </c>
      <c r="O1201" s="306">
        <f t="shared" si="510"/>
        <v>333194</v>
      </c>
      <c r="P1201" s="307">
        <f t="shared" si="510"/>
        <v>165527</v>
      </c>
      <c r="Q1201" s="307">
        <f t="shared" si="510"/>
        <v>21764</v>
      </c>
      <c r="R1201" s="307">
        <f t="shared" si="510"/>
        <v>0</v>
      </c>
      <c r="S1201" s="307">
        <f t="shared" si="510"/>
        <v>0</v>
      </c>
      <c r="T1201" s="307">
        <f t="shared" si="510"/>
        <v>0</v>
      </c>
      <c r="U1201" s="542"/>
    </row>
    <row r="1202" spans="1:22" s="657" customFormat="1" ht="24" customHeight="1">
      <c r="F1202" s="654"/>
      <c r="G1202" s="654"/>
      <c r="H1202" s="654"/>
      <c r="I1202" s="654"/>
      <c r="J1202" s="654"/>
      <c r="K1202" s="654"/>
      <c r="L1202" s="292">
        <f>(L1201-2207080)/2207080</f>
        <v>-0.67373271471808904</v>
      </c>
      <c r="M1202" s="292">
        <f>(M1201-L1201)/L1201</f>
        <v>-0.35037453235531829</v>
      </c>
      <c r="N1202" s="293">
        <f>(N1201-M1201)/M1201</f>
        <v>-0.28427042672629405</v>
      </c>
      <c r="O1202" s="293">
        <f>(O1201-M1201)/M1201</f>
        <v>-0.28773348952744154</v>
      </c>
      <c r="P1202" s="292">
        <f>(P1201-O1201)/O1201</f>
        <v>-0.50321134234109854</v>
      </c>
      <c r="Q1202" s="292">
        <f>(Q1201-P1201)/P1201</f>
        <v>-0.86851691869000225</v>
      </c>
      <c r="R1202" s="292">
        <f>(R1201-Q1201)/Q1201</f>
        <v>-1</v>
      </c>
      <c r="S1202" s="527">
        <v>0</v>
      </c>
      <c r="T1202" s="527">
        <v>0</v>
      </c>
      <c r="U1202" s="655"/>
    </row>
    <row r="1203" spans="1:22" s="661" customFormat="1" ht="24" customHeight="1">
      <c r="F1203" s="659"/>
      <c r="G1203" s="659"/>
      <c r="H1203" s="659"/>
      <c r="I1203" s="659"/>
      <c r="J1203" s="659"/>
      <c r="K1203" s="659"/>
      <c r="L1203" s="527"/>
      <c r="M1203" s="292"/>
      <c r="N1203" s="293"/>
      <c r="O1203" s="293"/>
      <c r="P1203" s="292"/>
      <c r="Q1203" s="292"/>
      <c r="R1203" s="292"/>
      <c r="S1203" s="527"/>
      <c r="T1203" s="527"/>
      <c r="U1203" s="660"/>
    </row>
    <row r="1204" spans="1:22" s="661" customFormat="1" ht="24" customHeight="1">
      <c r="F1204" s="659"/>
      <c r="G1204" s="659"/>
      <c r="H1204" s="659"/>
      <c r="I1204" s="659"/>
      <c r="J1204" s="659"/>
      <c r="K1204" s="665" t="s">
        <v>1160</v>
      </c>
      <c r="L1204" s="666">
        <f>L1198+L1201</f>
        <v>3435616</v>
      </c>
      <c r="M1204" s="666">
        <f t="shared" ref="M1204:T1204" si="511">M1198+M1201</f>
        <v>3193673</v>
      </c>
      <c r="N1204" s="667">
        <f t="shared" si="511"/>
        <v>3283009</v>
      </c>
      <c r="O1204" s="667">
        <f t="shared" si="511"/>
        <v>3234449</v>
      </c>
      <c r="P1204" s="666">
        <f t="shared" si="511"/>
        <v>3182204</v>
      </c>
      <c r="Q1204" s="666">
        <f t="shared" si="511"/>
        <v>3134205</v>
      </c>
      <c r="R1204" s="666">
        <f t="shared" si="511"/>
        <v>3079120</v>
      </c>
      <c r="S1204" s="666">
        <f t="shared" si="511"/>
        <v>3086133</v>
      </c>
      <c r="T1204" s="666">
        <f t="shared" si="511"/>
        <v>3180286</v>
      </c>
      <c r="U1204" s="660"/>
    </row>
    <row r="1205" spans="1:22" s="661" customFormat="1" ht="24" customHeight="1">
      <c r="F1205" s="659"/>
      <c r="G1205" s="659"/>
      <c r="H1205" s="659"/>
      <c r="I1205" s="659"/>
      <c r="J1205" s="659"/>
      <c r="K1205" s="659"/>
      <c r="L1205" s="527"/>
      <c r="M1205" s="292"/>
      <c r="N1205" s="293"/>
      <c r="O1205" s="293"/>
      <c r="P1205" s="292"/>
      <c r="Q1205" s="292"/>
      <c r="R1205" s="292"/>
      <c r="S1205" s="527"/>
      <c r="T1205" s="527"/>
      <c r="U1205" s="660"/>
    </row>
    <row r="1206" spans="1:22" s="661" customFormat="1" ht="24" customHeight="1">
      <c r="F1206" s="659"/>
      <c r="G1206" s="659"/>
      <c r="H1206" s="659"/>
      <c r="I1206" s="659"/>
      <c r="J1206" s="659"/>
      <c r="K1206" s="659" t="s">
        <v>670</v>
      </c>
      <c r="L1206" s="349">
        <f>L927</f>
        <v>691905</v>
      </c>
      <c r="M1206" s="349">
        <f t="shared" ref="M1206:T1206" si="512">M927</f>
        <v>642838</v>
      </c>
      <c r="N1206" s="662">
        <f t="shared" si="512"/>
        <v>646010</v>
      </c>
      <c r="O1206" s="662">
        <f t="shared" si="512"/>
        <v>626950</v>
      </c>
      <c r="P1206" s="349">
        <f t="shared" si="512"/>
        <v>635000</v>
      </c>
      <c r="Q1206" s="349">
        <f t="shared" si="512"/>
        <v>635000</v>
      </c>
      <c r="R1206" s="349">
        <f t="shared" si="512"/>
        <v>640000</v>
      </c>
      <c r="S1206" s="349">
        <f t="shared" si="512"/>
        <v>640000</v>
      </c>
      <c r="T1206" s="349">
        <f t="shared" si="512"/>
        <v>645000</v>
      </c>
      <c r="U1206" s="660"/>
    </row>
    <row r="1207" spans="1:22" s="661" customFormat="1" ht="24" customHeight="1">
      <c r="F1207" s="659"/>
      <c r="G1207" s="659"/>
      <c r="H1207" s="659"/>
      <c r="I1207" s="659"/>
      <c r="J1207" s="659"/>
      <c r="K1207" s="659" t="s">
        <v>586</v>
      </c>
      <c r="L1207" s="663">
        <f>L992</f>
        <v>791640</v>
      </c>
      <c r="M1207" s="663">
        <f t="shared" ref="M1207:T1207" si="513">M992</f>
        <v>746464</v>
      </c>
      <c r="N1207" s="664">
        <f t="shared" si="513"/>
        <v>731321</v>
      </c>
      <c r="O1207" s="664">
        <f t="shared" si="513"/>
        <v>727762</v>
      </c>
      <c r="P1207" s="663">
        <f t="shared" si="513"/>
        <v>749846</v>
      </c>
      <c r="Q1207" s="663">
        <f t="shared" si="513"/>
        <v>752771</v>
      </c>
      <c r="R1207" s="663">
        <f t="shared" si="513"/>
        <v>760396</v>
      </c>
      <c r="S1207" s="663">
        <f t="shared" si="513"/>
        <v>792101</v>
      </c>
      <c r="T1207" s="663">
        <f t="shared" si="513"/>
        <v>797013</v>
      </c>
      <c r="U1207" s="660"/>
    </row>
    <row r="1208" spans="1:22" s="661" customFormat="1" ht="24" customHeight="1">
      <c r="F1208" s="659"/>
      <c r="G1208" s="659"/>
      <c r="H1208" s="659"/>
      <c r="I1208" s="659"/>
      <c r="J1208" s="659"/>
      <c r="K1208" s="665" t="s">
        <v>1458</v>
      </c>
      <c r="L1208" s="666">
        <f>L1206+L1207</f>
        <v>1483545</v>
      </c>
      <c r="M1208" s="666">
        <f t="shared" ref="M1208:T1208" si="514">M1206+M1207</f>
        <v>1389302</v>
      </c>
      <c r="N1208" s="667">
        <f t="shared" si="514"/>
        <v>1377331</v>
      </c>
      <c r="O1208" s="667">
        <f t="shared" si="514"/>
        <v>1354712</v>
      </c>
      <c r="P1208" s="666">
        <f t="shared" si="514"/>
        <v>1384846</v>
      </c>
      <c r="Q1208" s="666">
        <f t="shared" si="514"/>
        <v>1387771</v>
      </c>
      <c r="R1208" s="666">
        <f t="shared" si="514"/>
        <v>1400396</v>
      </c>
      <c r="S1208" s="666">
        <f t="shared" si="514"/>
        <v>1432101</v>
      </c>
      <c r="T1208" s="666">
        <f t="shared" si="514"/>
        <v>1442013</v>
      </c>
      <c r="U1208" s="660"/>
    </row>
    <row r="1209" spans="1:22" s="255" customFormat="1" ht="24" customHeight="1">
      <c r="F1209" s="325"/>
      <c r="G1209" s="325"/>
      <c r="H1209" s="325"/>
      <c r="I1209" s="325"/>
      <c r="J1209" s="325"/>
      <c r="K1209" s="325"/>
      <c r="L1209" s="273"/>
      <c r="M1209" s="273"/>
      <c r="N1209" s="274"/>
      <c r="O1209" s="274"/>
      <c r="P1209" s="273"/>
      <c r="Q1209" s="273"/>
      <c r="R1209" s="273"/>
      <c r="S1209" s="273"/>
      <c r="T1209" s="273"/>
      <c r="U1209" s="542"/>
    </row>
    <row r="1210" spans="1:22" s="255" customFormat="1" ht="24" customHeight="1">
      <c r="A1210" s="292"/>
      <c r="F1210" s="325"/>
      <c r="G1210" s="325"/>
      <c r="H1210" s="325"/>
      <c r="I1210" s="325"/>
      <c r="J1210" s="325"/>
      <c r="K1210" s="658" t="s">
        <v>1459</v>
      </c>
      <c r="L1210" s="308">
        <f t="shared" ref="L1210:T1210" si="515">L1198+L1201+L1208</f>
        <v>4919161</v>
      </c>
      <c r="M1210" s="308">
        <f t="shared" si="515"/>
        <v>4582975</v>
      </c>
      <c r="N1210" s="309">
        <f t="shared" si="515"/>
        <v>4660340</v>
      </c>
      <c r="O1210" s="309">
        <f t="shared" si="515"/>
        <v>4589161</v>
      </c>
      <c r="P1210" s="308">
        <f t="shared" si="515"/>
        <v>4567050</v>
      </c>
      <c r="Q1210" s="308">
        <f t="shared" si="515"/>
        <v>4521976</v>
      </c>
      <c r="R1210" s="308">
        <f t="shared" si="515"/>
        <v>4479516</v>
      </c>
      <c r="S1210" s="308">
        <f t="shared" si="515"/>
        <v>4518234</v>
      </c>
      <c r="T1210" s="308">
        <f t="shared" si="515"/>
        <v>4622299</v>
      </c>
      <c r="U1210" s="542"/>
    </row>
    <row r="1211" spans="1:22" s="255" customFormat="1" ht="24" customHeight="1">
      <c r="F1211" s="325"/>
      <c r="G1211" s="325"/>
      <c r="H1211" s="325"/>
      <c r="I1211" s="325"/>
      <c r="J1211" s="325"/>
      <c r="K1211" s="325"/>
      <c r="L1211" s="292"/>
      <c r="M1211" s="292">
        <f>(M1210-L1210)/L1210</f>
        <v>-6.8342142084798607E-2</v>
      </c>
      <c r="N1211" s="293">
        <f>(N1210-M1210)/M1210</f>
        <v>1.6880956147480621E-2</v>
      </c>
      <c r="O1211" s="293">
        <f>(O1210-M1210)/M1210</f>
        <v>1.349778255390876E-3</v>
      </c>
      <c r="P1211" s="292">
        <f>(P1210-O1210)/O1210</f>
        <v>-4.8180920216135369E-3</v>
      </c>
      <c r="Q1211" s="292">
        <f>(Q1210-P1210)/P1210</f>
        <v>-9.8693905256128141E-3</v>
      </c>
      <c r="R1211" s="292">
        <f>(R1210-Q1210)/Q1210</f>
        <v>-9.3897004318466079E-3</v>
      </c>
      <c r="S1211" s="292">
        <f>(S1210-R1210)/R1210</f>
        <v>8.6433445041830415E-3</v>
      </c>
      <c r="T1211" s="292">
        <f>(T1210-S1210)/S1210</f>
        <v>2.3032228963794261E-2</v>
      </c>
      <c r="U1211" s="409"/>
      <c r="V1211" s="697"/>
    </row>
    <row r="1212" spans="1:22" s="532" customFormat="1" ht="24" customHeight="1">
      <c r="F1212" s="534"/>
      <c r="G1212" s="534"/>
      <c r="H1212" s="534"/>
      <c r="I1212" s="534"/>
      <c r="J1212" s="534"/>
      <c r="K1212" s="534"/>
      <c r="L1212" s="292"/>
      <c r="M1212" s="292"/>
      <c r="N1212" s="293"/>
      <c r="O1212" s="302"/>
      <c r="P1212" s="292"/>
      <c r="Q1212" s="292"/>
      <c r="R1212" s="292"/>
      <c r="S1212" s="292"/>
      <c r="T1212" s="292"/>
      <c r="U1212" s="409"/>
    </row>
    <row r="1213" spans="1:22" s="532" customFormat="1" ht="24" customHeight="1">
      <c r="F1213" s="767" t="s">
        <v>1369</v>
      </c>
      <c r="G1213" s="767"/>
      <c r="H1213" s="767"/>
      <c r="I1213" s="767"/>
      <c r="J1213" s="767"/>
      <c r="K1213" s="767"/>
      <c r="L1213" s="536">
        <f>L1214+L1215</f>
        <v>4170886</v>
      </c>
      <c r="M1213" s="536">
        <f t="shared" ref="M1213:T1213" si="516">M1214+M1215</f>
        <v>4692995</v>
      </c>
      <c r="N1213" s="537">
        <f t="shared" si="516"/>
        <v>4509853</v>
      </c>
      <c r="O1213" s="537">
        <f t="shared" si="516"/>
        <v>4474319</v>
      </c>
      <c r="P1213" s="536">
        <f t="shared" si="516"/>
        <v>4730761</v>
      </c>
      <c r="Q1213" s="536">
        <f t="shared" si="516"/>
        <v>4985845</v>
      </c>
      <c r="R1213" s="536">
        <f t="shared" si="516"/>
        <v>4991664</v>
      </c>
      <c r="S1213" s="536">
        <f t="shared" si="516"/>
        <v>5227137</v>
      </c>
      <c r="T1213" s="536">
        <f t="shared" si="516"/>
        <v>5541809</v>
      </c>
      <c r="U1213" s="409"/>
    </row>
    <row r="1214" spans="1:22" s="532" customFormat="1" ht="24" customHeight="1">
      <c r="F1214" s="756" t="s">
        <v>1232</v>
      </c>
      <c r="G1214" s="756"/>
      <c r="H1214" s="756"/>
      <c r="I1214" s="756"/>
      <c r="J1214" s="756"/>
      <c r="K1214" s="756"/>
      <c r="L1214" s="268">
        <f t="shared" ref="L1214:T1214" si="517">L431+L434+L491+L503+L541+L544+L547+L652+L635+L638+L640+L643+L646+L649+L723+L726+L729+L732+L735+L738+L999+L1002+L1005+L1050+L1053+L632+L538</f>
        <v>2504396</v>
      </c>
      <c r="M1214" s="268">
        <f t="shared" si="517"/>
        <v>3115137</v>
      </c>
      <c r="N1214" s="538">
        <f t="shared" si="517"/>
        <v>3029691</v>
      </c>
      <c r="O1214" s="538">
        <f t="shared" si="517"/>
        <v>3019691</v>
      </c>
      <c r="P1214" s="268">
        <f t="shared" si="517"/>
        <v>3123664</v>
      </c>
      <c r="Q1214" s="268">
        <f t="shared" si="517"/>
        <v>3475423</v>
      </c>
      <c r="R1214" s="268">
        <f t="shared" si="517"/>
        <v>3592392</v>
      </c>
      <c r="S1214" s="268">
        <f t="shared" si="517"/>
        <v>3944577</v>
      </c>
      <c r="T1214" s="268">
        <f t="shared" si="517"/>
        <v>4391044</v>
      </c>
      <c r="U1214" s="409"/>
    </row>
    <row r="1215" spans="1:22" s="532" customFormat="1" ht="24" customHeight="1">
      <c r="F1215" s="756" t="s">
        <v>1233</v>
      </c>
      <c r="G1215" s="756"/>
      <c r="H1215" s="756"/>
      <c r="I1215" s="756"/>
      <c r="J1215" s="756"/>
      <c r="K1215" s="756"/>
      <c r="L1215" s="268">
        <f t="shared" ref="L1215:T1215" si="518">L432+L492+L504+L542+L545+L548+L653+L636+L641+L644+L647+L650+L724+L727+L730+L733+L736+L739+L1000+L1003+L1006+L1051+L1054+L633+L539</f>
        <v>1666490</v>
      </c>
      <c r="M1215" s="268">
        <f t="shared" si="518"/>
        <v>1577858</v>
      </c>
      <c r="N1215" s="538">
        <f t="shared" si="518"/>
        <v>1480162</v>
      </c>
      <c r="O1215" s="538">
        <f t="shared" si="518"/>
        <v>1454628</v>
      </c>
      <c r="P1215" s="268">
        <f t="shared" si="518"/>
        <v>1607097</v>
      </c>
      <c r="Q1215" s="268">
        <f t="shared" si="518"/>
        <v>1510422</v>
      </c>
      <c r="R1215" s="268">
        <f t="shared" si="518"/>
        <v>1399272</v>
      </c>
      <c r="S1215" s="268">
        <f t="shared" si="518"/>
        <v>1282560</v>
      </c>
      <c r="T1215" s="268">
        <f t="shared" si="518"/>
        <v>1150765</v>
      </c>
      <c r="U1215" s="409"/>
      <c r="V1215" s="697"/>
    </row>
    <row r="1216" spans="1:22" s="601" customFormat="1" ht="24" customHeight="1">
      <c r="F1216" s="602"/>
      <c r="G1216" s="602"/>
      <c r="H1216" s="602"/>
      <c r="I1216" s="602"/>
      <c r="J1216" s="602"/>
      <c r="K1216" s="602"/>
      <c r="L1216" s="268"/>
      <c r="M1216" s="268"/>
      <c r="N1216" s="538"/>
      <c r="O1216" s="538"/>
      <c r="P1216" s="268"/>
      <c r="Q1216" s="268"/>
      <c r="R1216" s="268"/>
      <c r="S1216" s="268"/>
      <c r="T1216" s="268"/>
      <c r="U1216" s="409"/>
      <c r="V1216" s="697"/>
    </row>
    <row r="1217" spans="1:21" s="379" customFormat="1" ht="24" customHeight="1">
      <c r="A1217" s="755" t="s">
        <v>1307</v>
      </c>
      <c r="B1217" s="755"/>
      <c r="C1217" s="755"/>
      <c r="D1217" s="755"/>
      <c r="E1217" s="755"/>
      <c r="F1217" s="755"/>
      <c r="G1217" s="755"/>
      <c r="H1217" s="755"/>
      <c r="I1217" s="755"/>
      <c r="J1217" s="755"/>
      <c r="K1217" s="755"/>
      <c r="L1217" s="384"/>
      <c r="M1217" s="384"/>
      <c r="N1217" s="381"/>
      <c r="O1217" s="381"/>
      <c r="P1217" s="381"/>
      <c r="Q1217" s="381"/>
      <c r="R1217" s="381"/>
      <c r="S1217" s="381"/>
      <c r="T1217" s="381"/>
      <c r="U1217" s="541"/>
    </row>
    <row r="1218" spans="1:21" s="255" customFormat="1" ht="24" customHeight="1">
      <c r="I1218" s="751" t="s">
        <v>819</v>
      </c>
      <c r="J1218" s="751"/>
      <c r="K1218" s="324" t="s">
        <v>844</v>
      </c>
      <c r="L1218" s="271"/>
      <c r="M1218" s="271"/>
      <c r="N1218" s="272"/>
      <c r="O1218" s="272"/>
      <c r="P1218" s="271"/>
      <c r="Q1218" s="271"/>
      <c r="R1218" s="271"/>
      <c r="S1218" s="271"/>
      <c r="T1218" s="271"/>
      <c r="U1218" s="542"/>
    </row>
    <row r="1219" spans="1:21" s="255" customFormat="1" ht="24" customHeight="1">
      <c r="K1219" s="255" t="s">
        <v>953</v>
      </c>
      <c r="L1219" s="271">
        <f t="shared" ref="L1219:T1219" si="519">L70+L104+L125+L126+L127+L128+L169+L198+L579+L684+L806+L833+L895</f>
        <v>4052877</v>
      </c>
      <c r="M1219" s="271">
        <f t="shared" si="519"/>
        <v>4266622</v>
      </c>
      <c r="N1219" s="272">
        <f t="shared" si="519"/>
        <v>4886629</v>
      </c>
      <c r="O1219" s="272">
        <f t="shared" si="519"/>
        <v>4860846</v>
      </c>
      <c r="P1219" s="271">
        <f t="shared" si="519"/>
        <v>5041650</v>
      </c>
      <c r="Q1219" s="271">
        <f t="shared" si="519"/>
        <v>5218109</v>
      </c>
      <c r="R1219" s="271">
        <f t="shared" si="519"/>
        <v>5400743</v>
      </c>
      <c r="S1219" s="271">
        <f t="shared" si="519"/>
        <v>5589768</v>
      </c>
      <c r="T1219" s="271">
        <f t="shared" si="519"/>
        <v>5785412</v>
      </c>
      <c r="U1219" s="542"/>
    </row>
    <row r="1220" spans="1:21" s="255" customFormat="1" ht="24" customHeight="1">
      <c r="K1220" s="255" t="s">
        <v>954</v>
      </c>
      <c r="L1220" s="271">
        <f t="shared" ref="L1220:T1220" si="520">L72+L131+L200+L581+L685+L808+L835+L239</f>
        <v>113276</v>
      </c>
      <c r="M1220" s="271">
        <f t="shared" si="520"/>
        <v>131899</v>
      </c>
      <c r="N1220" s="272">
        <f t="shared" si="520"/>
        <v>144300</v>
      </c>
      <c r="O1220" s="272">
        <f t="shared" si="520"/>
        <v>144300</v>
      </c>
      <c r="P1220" s="271">
        <f t="shared" si="520"/>
        <v>144300</v>
      </c>
      <c r="Q1220" s="271">
        <f t="shared" si="520"/>
        <v>144300</v>
      </c>
      <c r="R1220" s="271">
        <f t="shared" si="520"/>
        <v>144300</v>
      </c>
      <c r="S1220" s="271">
        <f t="shared" si="520"/>
        <v>144300</v>
      </c>
      <c r="T1220" s="271">
        <f t="shared" si="520"/>
        <v>144300</v>
      </c>
      <c r="U1220" s="542"/>
    </row>
    <row r="1221" spans="1:21" s="255" customFormat="1" ht="24" customHeight="1">
      <c r="K1221" s="255" t="s">
        <v>955</v>
      </c>
      <c r="L1221" s="307">
        <f t="shared" ref="L1221:T1221" si="521">L65+L66+L67+L68+L69+L129+L130+L170+L807+L836+L837+L838+L896+L897+L898+L71+L580+L834+L199</f>
        <v>373065</v>
      </c>
      <c r="M1221" s="307">
        <f t="shared" si="521"/>
        <v>270309</v>
      </c>
      <c r="N1221" s="306">
        <f t="shared" si="521"/>
        <v>324100</v>
      </c>
      <c r="O1221" s="306">
        <f t="shared" si="521"/>
        <v>297600</v>
      </c>
      <c r="P1221" s="307">
        <f t="shared" si="521"/>
        <v>407400</v>
      </c>
      <c r="Q1221" s="307">
        <f t="shared" si="521"/>
        <v>410900</v>
      </c>
      <c r="R1221" s="307">
        <f t="shared" si="521"/>
        <v>410900</v>
      </c>
      <c r="S1221" s="307">
        <f t="shared" si="521"/>
        <v>410900</v>
      </c>
      <c r="T1221" s="307">
        <f t="shared" si="521"/>
        <v>410900</v>
      </c>
      <c r="U1221" s="542"/>
    </row>
    <row r="1222" spans="1:21" s="324" customFormat="1" ht="24" customHeight="1">
      <c r="K1222" s="324" t="s">
        <v>931</v>
      </c>
      <c r="L1222" s="273">
        <f>SUM(L1219:L1221)</f>
        <v>4539218</v>
      </c>
      <c r="M1222" s="273">
        <f>SUM(M1219:M1221)</f>
        <v>4668830</v>
      </c>
      <c r="N1222" s="274">
        <f t="shared" ref="N1222:O1222" si="522">SUM(N1219:N1221)</f>
        <v>5355029</v>
      </c>
      <c r="O1222" s="274">
        <f t="shared" si="522"/>
        <v>5302746</v>
      </c>
      <c r="P1222" s="273">
        <f t="shared" ref="P1222:R1222" si="523">SUM(P1219:P1221)</f>
        <v>5593350</v>
      </c>
      <c r="Q1222" s="273">
        <f t="shared" si="523"/>
        <v>5773309</v>
      </c>
      <c r="R1222" s="273">
        <f t="shared" si="523"/>
        <v>5955943</v>
      </c>
      <c r="S1222" s="273">
        <f>SUM(S1219:S1221)</f>
        <v>6144968</v>
      </c>
      <c r="T1222" s="273">
        <f>SUM(T1219:T1221)</f>
        <v>6340612</v>
      </c>
      <c r="U1222" s="540"/>
    </row>
    <row r="1223" spans="1:21" s="255" customFormat="1" ht="24" customHeight="1">
      <c r="L1223" s="271"/>
      <c r="M1223" s="271"/>
      <c r="N1223" s="272"/>
      <c r="O1223" s="272"/>
      <c r="P1223" s="271"/>
      <c r="Q1223" s="271"/>
      <c r="R1223" s="271"/>
      <c r="S1223" s="271"/>
      <c r="T1223" s="271"/>
      <c r="U1223" s="542"/>
    </row>
    <row r="1224" spans="1:21" s="255" customFormat="1" ht="24" customHeight="1">
      <c r="I1224" s="752" t="s">
        <v>823</v>
      </c>
      <c r="J1224" s="752"/>
      <c r="K1224" s="324" t="s">
        <v>844</v>
      </c>
      <c r="L1224" s="271"/>
      <c r="M1224" s="271"/>
      <c r="N1224" s="272"/>
      <c r="O1224" s="272"/>
      <c r="P1224" s="271"/>
      <c r="Q1224" s="271"/>
      <c r="R1224" s="271"/>
      <c r="S1224" s="271"/>
      <c r="T1224" s="271"/>
      <c r="U1224" s="542"/>
    </row>
    <row r="1225" spans="1:21" s="255" customFormat="1" ht="24" customHeight="1">
      <c r="K1225" s="255" t="s">
        <v>953</v>
      </c>
      <c r="L1225" s="271">
        <f t="shared" ref="L1225:T1225" si="524">L945</f>
        <v>244847</v>
      </c>
      <c r="M1225" s="271">
        <f t="shared" si="524"/>
        <v>245323</v>
      </c>
      <c r="N1225" s="272">
        <f t="shared" si="524"/>
        <v>252540</v>
      </c>
      <c r="O1225" s="272">
        <f t="shared" si="524"/>
        <v>252540</v>
      </c>
      <c r="P1225" s="271">
        <f t="shared" si="524"/>
        <v>202860</v>
      </c>
      <c r="Q1225" s="271">
        <f t="shared" si="524"/>
        <v>202860</v>
      </c>
      <c r="R1225" s="271">
        <f t="shared" si="524"/>
        <v>202860</v>
      </c>
      <c r="S1225" s="271">
        <f t="shared" si="524"/>
        <v>202860</v>
      </c>
      <c r="T1225" s="271">
        <f t="shared" si="524"/>
        <v>202860</v>
      </c>
      <c r="U1225" s="542"/>
    </row>
    <row r="1226" spans="1:21" s="255" customFormat="1" ht="24" customHeight="1">
      <c r="K1226" s="255" t="s">
        <v>955</v>
      </c>
      <c r="L1226" s="307">
        <f t="shared" ref="L1226:T1226" si="525">L946</f>
        <v>175436</v>
      </c>
      <c r="M1226" s="307">
        <f t="shared" si="525"/>
        <v>169202</v>
      </c>
      <c r="N1226" s="315">
        <f t="shared" si="525"/>
        <v>195000</v>
      </c>
      <c r="O1226" s="315">
        <f t="shared" si="525"/>
        <v>195000</v>
      </c>
      <c r="P1226" s="314">
        <f t="shared" si="525"/>
        <v>195000</v>
      </c>
      <c r="Q1226" s="314">
        <f t="shared" si="525"/>
        <v>195000</v>
      </c>
      <c r="R1226" s="314">
        <f t="shared" si="525"/>
        <v>195000</v>
      </c>
      <c r="S1226" s="314">
        <f t="shared" si="525"/>
        <v>195000</v>
      </c>
      <c r="T1226" s="314">
        <f t="shared" si="525"/>
        <v>195000</v>
      </c>
      <c r="U1226" s="542"/>
    </row>
    <row r="1227" spans="1:21" s="324" customFormat="1" ht="24" customHeight="1">
      <c r="K1227" s="324" t="s">
        <v>931</v>
      </c>
      <c r="L1227" s="273">
        <f>SUM(L1225:L1226)</f>
        <v>420283</v>
      </c>
      <c r="M1227" s="273">
        <f>SUM(M1225:M1226)</f>
        <v>414525</v>
      </c>
      <c r="N1227" s="274">
        <f t="shared" ref="N1227:O1227" si="526">SUM(N1225:N1226)</f>
        <v>447540</v>
      </c>
      <c r="O1227" s="274">
        <f t="shared" si="526"/>
        <v>447540</v>
      </c>
      <c r="P1227" s="273">
        <f t="shared" ref="P1227:R1227" si="527">SUM(P1225:P1226)</f>
        <v>397860</v>
      </c>
      <c r="Q1227" s="273">
        <f t="shared" si="527"/>
        <v>397860</v>
      </c>
      <c r="R1227" s="273">
        <f t="shared" si="527"/>
        <v>397860</v>
      </c>
      <c r="S1227" s="273">
        <f>SUM(S1225:S1226)</f>
        <v>397860</v>
      </c>
      <c r="T1227" s="273">
        <f>SUM(T1225:T1226)</f>
        <v>397860</v>
      </c>
      <c r="U1227" s="540"/>
    </row>
    <row r="1228" spans="1:21" s="255" customFormat="1" ht="24" customHeight="1">
      <c r="L1228" s="271"/>
      <c r="M1228" s="271"/>
      <c r="N1228" s="272"/>
      <c r="O1228" s="272"/>
      <c r="P1228" s="271"/>
      <c r="Q1228" s="271"/>
      <c r="R1228" s="271"/>
      <c r="S1228" s="271"/>
      <c r="T1228" s="271"/>
      <c r="U1228" s="542"/>
    </row>
    <row r="1229" spans="1:21" s="255" customFormat="1" ht="24" customHeight="1">
      <c r="I1229" s="752" t="s">
        <v>931</v>
      </c>
      <c r="J1229" s="752"/>
      <c r="K1229" s="324" t="s">
        <v>844</v>
      </c>
      <c r="L1229" s="271"/>
      <c r="M1229" s="271"/>
      <c r="N1229" s="272"/>
      <c r="O1229" s="272"/>
      <c r="P1229" s="271"/>
      <c r="Q1229" s="271"/>
      <c r="R1229" s="271"/>
      <c r="S1229" s="271"/>
      <c r="T1229" s="271"/>
      <c r="U1229" s="542"/>
    </row>
    <row r="1230" spans="1:21" s="255" customFormat="1" ht="24" customHeight="1">
      <c r="K1230" s="255" t="s">
        <v>953</v>
      </c>
      <c r="L1230" s="271">
        <f t="shared" ref="L1230:T1230" si="528">L1219+L1225</f>
        <v>4297724</v>
      </c>
      <c r="M1230" s="271">
        <f t="shared" si="528"/>
        <v>4511945</v>
      </c>
      <c r="N1230" s="272">
        <f t="shared" si="528"/>
        <v>5139169</v>
      </c>
      <c r="O1230" s="272">
        <f t="shared" si="528"/>
        <v>5113386</v>
      </c>
      <c r="P1230" s="271">
        <f t="shared" si="528"/>
        <v>5244510</v>
      </c>
      <c r="Q1230" s="271">
        <f t="shared" si="528"/>
        <v>5420969</v>
      </c>
      <c r="R1230" s="271">
        <f t="shared" si="528"/>
        <v>5603603</v>
      </c>
      <c r="S1230" s="271">
        <f t="shared" si="528"/>
        <v>5792628</v>
      </c>
      <c r="T1230" s="271">
        <f t="shared" si="528"/>
        <v>5988272</v>
      </c>
      <c r="U1230" s="542"/>
    </row>
    <row r="1231" spans="1:21" s="255" customFormat="1" ht="24" customHeight="1">
      <c r="K1231" s="255" t="s">
        <v>954</v>
      </c>
      <c r="L1231" s="271">
        <f t="shared" ref="L1231:T1231" si="529">L1220</f>
        <v>113276</v>
      </c>
      <c r="M1231" s="271">
        <f t="shared" si="529"/>
        <v>131899</v>
      </c>
      <c r="N1231" s="272">
        <f t="shared" si="529"/>
        <v>144300</v>
      </c>
      <c r="O1231" s="272">
        <f t="shared" si="529"/>
        <v>144300</v>
      </c>
      <c r="P1231" s="271">
        <f t="shared" si="529"/>
        <v>144300</v>
      </c>
      <c r="Q1231" s="271">
        <f t="shared" si="529"/>
        <v>144300</v>
      </c>
      <c r="R1231" s="271">
        <f t="shared" si="529"/>
        <v>144300</v>
      </c>
      <c r="S1231" s="271">
        <f t="shared" si="529"/>
        <v>144300</v>
      </c>
      <c r="T1231" s="271">
        <f t="shared" si="529"/>
        <v>144300</v>
      </c>
      <c r="U1231" s="542"/>
    </row>
    <row r="1232" spans="1:21" s="255" customFormat="1" ht="24" customHeight="1">
      <c r="K1232" s="255" t="s">
        <v>955</v>
      </c>
      <c r="L1232" s="307">
        <f t="shared" ref="L1232:T1232" si="530">L1221+L1226</f>
        <v>548501</v>
      </c>
      <c r="M1232" s="307">
        <f t="shared" si="530"/>
        <v>439511</v>
      </c>
      <c r="N1232" s="306">
        <f t="shared" si="530"/>
        <v>519100</v>
      </c>
      <c r="O1232" s="306">
        <f t="shared" si="530"/>
        <v>492600</v>
      </c>
      <c r="P1232" s="307">
        <f t="shared" si="530"/>
        <v>602400</v>
      </c>
      <c r="Q1232" s="307">
        <f t="shared" si="530"/>
        <v>605900</v>
      </c>
      <c r="R1232" s="307">
        <f t="shared" si="530"/>
        <v>605900</v>
      </c>
      <c r="S1232" s="307">
        <f t="shared" si="530"/>
        <v>605900</v>
      </c>
      <c r="T1232" s="307">
        <f t="shared" si="530"/>
        <v>605900</v>
      </c>
      <c r="U1232" s="542"/>
    </row>
    <row r="1233" spans="1:22" s="324" customFormat="1" ht="24" customHeight="1">
      <c r="K1233" s="324" t="s">
        <v>931</v>
      </c>
      <c r="L1233" s="273">
        <f>SUM(L1230:L1232)</f>
        <v>4959501</v>
      </c>
      <c r="M1233" s="273">
        <f>SUM(M1230:M1232)</f>
        <v>5083355</v>
      </c>
      <c r="N1233" s="274">
        <f t="shared" ref="N1233:O1233" si="531">SUM(N1230:N1232)</f>
        <v>5802569</v>
      </c>
      <c r="O1233" s="274">
        <f t="shared" si="531"/>
        <v>5750286</v>
      </c>
      <c r="P1233" s="273">
        <f t="shared" ref="P1233:R1233" si="532">SUM(P1230:P1232)</f>
        <v>5991210</v>
      </c>
      <c r="Q1233" s="273">
        <f t="shared" si="532"/>
        <v>6171169</v>
      </c>
      <c r="R1233" s="273">
        <f t="shared" si="532"/>
        <v>6353803</v>
      </c>
      <c r="S1233" s="273">
        <f>SUM(S1230:S1232)</f>
        <v>6542828</v>
      </c>
      <c r="T1233" s="273">
        <f>SUM(T1230:T1232)</f>
        <v>6738472</v>
      </c>
      <c r="U1233" s="540"/>
    </row>
    <row r="1234" spans="1:22" s="385" customFormat="1" ht="24" customHeight="1">
      <c r="L1234" s="604"/>
      <c r="M1234" s="604"/>
      <c r="N1234" s="685"/>
      <c r="O1234" s="685"/>
      <c r="P1234" s="604"/>
      <c r="Q1234" s="604"/>
      <c r="R1234" s="604"/>
      <c r="S1234" s="604"/>
      <c r="T1234" s="604"/>
      <c r="U1234" s="518"/>
      <c r="V1234" s="605"/>
    </row>
    <row r="1235" spans="1:22" s="379" customFormat="1" ht="24" customHeight="1">
      <c r="A1235" s="755" t="s">
        <v>1427</v>
      </c>
      <c r="B1235" s="755"/>
      <c r="C1235" s="755"/>
      <c r="D1235" s="755"/>
      <c r="E1235" s="755"/>
      <c r="F1235" s="755"/>
      <c r="G1235" s="755"/>
      <c r="H1235" s="755"/>
      <c r="I1235" s="755"/>
      <c r="J1235" s="755"/>
      <c r="K1235" s="755"/>
      <c r="L1235" s="384"/>
      <c r="M1235" s="384"/>
      <c r="N1235" s="381"/>
      <c r="O1235" s="381"/>
      <c r="P1235" s="381"/>
      <c r="Q1235" s="381"/>
      <c r="R1235" s="381"/>
      <c r="S1235" s="381"/>
      <c r="T1235" s="381"/>
      <c r="U1235" s="600"/>
    </row>
    <row r="1236" spans="1:22" s="385" customFormat="1" ht="24" customHeight="1">
      <c r="I1236" s="751" t="s">
        <v>819</v>
      </c>
      <c r="J1236" s="751"/>
      <c r="K1236" s="324" t="s">
        <v>845</v>
      </c>
      <c r="L1236" s="604"/>
      <c r="M1236" s="604"/>
      <c r="N1236" s="685"/>
      <c r="O1236" s="685"/>
      <c r="P1236" s="604"/>
      <c r="Q1236" s="604"/>
      <c r="R1236" s="604"/>
      <c r="S1236" s="604"/>
      <c r="T1236" s="604"/>
      <c r="U1236" s="518"/>
      <c r="V1236" s="605"/>
    </row>
    <row r="1237" spans="1:22" s="385" customFormat="1" ht="24" customHeight="1">
      <c r="I1237" s="601"/>
      <c r="J1237" s="601"/>
      <c r="K1237" s="601" t="s">
        <v>1428</v>
      </c>
      <c r="L1237" s="268">
        <f t="shared" ref="L1237:T1237" si="533">L73+L105+L132+L171+L201+L582+L686+L809+L839+L899</f>
        <v>245079</v>
      </c>
      <c r="M1237" s="268">
        <f t="shared" si="533"/>
        <v>263218</v>
      </c>
      <c r="N1237" s="538">
        <f t="shared" si="533"/>
        <v>313306</v>
      </c>
      <c r="O1237" s="538">
        <f t="shared" si="533"/>
        <v>313306</v>
      </c>
      <c r="P1237" s="268">
        <f t="shared" si="533"/>
        <v>305832</v>
      </c>
      <c r="Q1237" s="268">
        <f t="shared" si="533"/>
        <v>345453</v>
      </c>
      <c r="R1237" s="268">
        <f t="shared" si="533"/>
        <v>470787</v>
      </c>
      <c r="S1237" s="268">
        <f t="shared" si="533"/>
        <v>516635</v>
      </c>
      <c r="T1237" s="268">
        <f t="shared" si="533"/>
        <v>567173</v>
      </c>
      <c r="U1237" s="518"/>
      <c r="V1237" s="605"/>
    </row>
    <row r="1238" spans="1:22" s="385" customFormat="1" ht="24" customHeight="1">
      <c r="I1238" s="601"/>
      <c r="J1238" s="601"/>
      <c r="K1238" s="601" t="s">
        <v>1159</v>
      </c>
      <c r="L1238" s="268">
        <f t="shared" ref="L1238:T1238" si="534">L133</f>
        <v>438711</v>
      </c>
      <c r="M1238" s="268">
        <f t="shared" si="534"/>
        <v>524120</v>
      </c>
      <c r="N1238" s="538">
        <f t="shared" si="534"/>
        <v>614005</v>
      </c>
      <c r="O1238" s="538">
        <f t="shared" si="534"/>
        <v>624168</v>
      </c>
      <c r="P1238" s="268">
        <f t="shared" si="534"/>
        <v>728477</v>
      </c>
      <c r="Q1238" s="268">
        <f t="shared" si="534"/>
        <v>778477</v>
      </c>
      <c r="R1238" s="268">
        <f t="shared" si="534"/>
        <v>828477</v>
      </c>
      <c r="S1238" s="268">
        <f t="shared" si="534"/>
        <v>878477</v>
      </c>
      <c r="T1238" s="268">
        <f t="shared" si="534"/>
        <v>928477</v>
      </c>
      <c r="U1238" s="518"/>
      <c r="V1238" s="605"/>
    </row>
    <row r="1239" spans="1:22" s="385" customFormat="1" ht="24" customHeight="1">
      <c r="I1239" s="601"/>
      <c r="J1239" s="601"/>
      <c r="K1239" s="601" t="s">
        <v>1429</v>
      </c>
      <c r="L1239" s="597">
        <f t="shared" ref="L1239:T1239" si="535">L74+L106+L134+L172+L202+L583+L687+L810+L840+L900</f>
        <v>334672</v>
      </c>
      <c r="M1239" s="597">
        <f t="shared" si="535"/>
        <v>343329</v>
      </c>
      <c r="N1239" s="686">
        <f t="shared" si="535"/>
        <v>400206</v>
      </c>
      <c r="O1239" s="686">
        <f t="shared" si="535"/>
        <v>400206</v>
      </c>
      <c r="P1239" s="597">
        <f t="shared" si="535"/>
        <v>418002</v>
      </c>
      <c r="Q1239" s="597">
        <f t="shared" si="535"/>
        <v>432632</v>
      </c>
      <c r="R1239" s="597">
        <f t="shared" si="535"/>
        <v>447773</v>
      </c>
      <c r="S1239" s="597">
        <f t="shared" si="535"/>
        <v>463444</v>
      </c>
      <c r="T1239" s="597">
        <f t="shared" si="535"/>
        <v>479664</v>
      </c>
      <c r="U1239" s="518"/>
      <c r="V1239" s="605"/>
    </row>
    <row r="1240" spans="1:22" s="385" customFormat="1" ht="24" customHeight="1">
      <c r="I1240" s="324"/>
      <c r="J1240" s="324"/>
      <c r="K1240" s="324" t="s">
        <v>931</v>
      </c>
      <c r="L1240" s="346">
        <f>SUM(L1237:L1239)</f>
        <v>1018462</v>
      </c>
      <c r="M1240" s="346">
        <f t="shared" ref="M1240:T1240" si="536">SUM(M1237:M1239)</f>
        <v>1130667</v>
      </c>
      <c r="N1240" s="276">
        <f t="shared" si="536"/>
        <v>1327517</v>
      </c>
      <c r="O1240" s="276">
        <f t="shared" si="536"/>
        <v>1337680</v>
      </c>
      <c r="P1240" s="346">
        <f t="shared" si="536"/>
        <v>1452311</v>
      </c>
      <c r="Q1240" s="346">
        <f t="shared" si="536"/>
        <v>1556562</v>
      </c>
      <c r="R1240" s="346">
        <f t="shared" si="536"/>
        <v>1747037</v>
      </c>
      <c r="S1240" s="346">
        <f t="shared" si="536"/>
        <v>1858556</v>
      </c>
      <c r="T1240" s="346">
        <f t="shared" si="536"/>
        <v>1975314</v>
      </c>
      <c r="U1240" s="518"/>
      <c r="V1240" s="605"/>
    </row>
    <row r="1241" spans="1:22" s="385" customFormat="1" ht="24" customHeight="1">
      <c r="I1241" s="601"/>
      <c r="J1241" s="601"/>
      <c r="K1241" s="601"/>
      <c r="L1241" s="268"/>
      <c r="M1241" s="268"/>
      <c r="N1241" s="538"/>
      <c r="O1241" s="538"/>
      <c r="P1241" s="268"/>
      <c r="Q1241" s="268"/>
      <c r="R1241" s="268"/>
      <c r="S1241" s="268"/>
      <c r="T1241" s="268"/>
      <c r="U1241" s="518"/>
      <c r="V1241" s="605"/>
    </row>
    <row r="1242" spans="1:22" s="385" customFormat="1" ht="24" customHeight="1">
      <c r="I1242" s="752" t="s">
        <v>823</v>
      </c>
      <c r="J1242" s="752"/>
      <c r="K1242" s="324" t="s">
        <v>845</v>
      </c>
      <c r="L1242" s="268"/>
      <c r="M1242" s="268"/>
      <c r="N1242" s="538"/>
      <c r="O1242" s="538"/>
      <c r="P1242" s="268"/>
      <c r="Q1242" s="268"/>
      <c r="R1242" s="268"/>
      <c r="S1242" s="268"/>
      <c r="T1242" s="268"/>
      <c r="U1242" s="518"/>
      <c r="V1242" s="605"/>
    </row>
    <row r="1243" spans="1:22" s="385" customFormat="1" ht="24" customHeight="1">
      <c r="I1243" s="601"/>
      <c r="J1243" s="601"/>
      <c r="K1243" s="601" t="s">
        <v>1428</v>
      </c>
      <c r="L1243" s="268">
        <f t="shared" ref="L1243:T1243" si="537">L947</f>
        <v>26152</v>
      </c>
      <c r="M1243" s="268">
        <f t="shared" si="537"/>
        <v>27138</v>
      </c>
      <c r="N1243" s="538">
        <f t="shared" si="537"/>
        <v>30117</v>
      </c>
      <c r="O1243" s="538">
        <f t="shared" si="537"/>
        <v>30117</v>
      </c>
      <c r="P1243" s="268">
        <f t="shared" si="537"/>
        <v>22569</v>
      </c>
      <c r="Q1243" s="268">
        <f t="shared" si="537"/>
        <v>24871</v>
      </c>
      <c r="R1243" s="268">
        <f t="shared" si="537"/>
        <v>26352</v>
      </c>
      <c r="S1243" s="268">
        <f t="shared" si="537"/>
        <v>27934</v>
      </c>
      <c r="T1243" s="268">
        <f t="shared" si="537"/>
        <v>29618</v>
      </c>
      <c r="U1243" s="518"/>
      <c r="V1243" s="605"/>
    </row>
    <row r="1244" spans="1:22" s="385" customFormat="1" ht="24" customHeight="1">
      <c r="I1244" s="601"/>
      <c r="J1244" s="601"/>
      <c r="K1244" s="601" t="s">
        <v>1429</v>
      </c>
      <c r="L1244" s="597">
        <f t="shared" ref="L1244:T1244" si="538">L948</f>
        <v>31483</v>
      </c>
      <c r="M1244" s="597">
        <f t="shared" si="538"/>
        <v>30993</v>
      </c>
      <c r="N1244" s="686">
        <f t="shared" si="538"/>
        <v>33484</v>
      </c>
      <c r="O1244" s="686">
        <f t="shared" si="538"/>
        <v>33484</v>
      </c>
      <c r="P1244" s="597">
        <f t="shared" si="538"/>
        <v>29849</v>
      </c>
      <c r="Q1244" s="597">
        <f t="shared" si="538"/>
        <v>29849</v>
      </c>
      <c r="R1244" s="597">
        <f t="shared" si="538"/>
        <v>29849</v>
      </c>
      <c r="S1244" s="597">
        <f t="shared" si="538"/>
        <v>29849</v>
      </c>
      <c r="T1244" s="597">
        <f t="shared" si="538"/>
        <v>29849</v>
      </c>
      <c r="U1244" s="518"/>
      <c r="V1244" s="605"/>
    </row>
    <row r="1245" spans="1:22" s="385" customFormat="1" ht="24" customHeight="1">
      <c r="I1245" s="324"/>
      <c r="J1245" s="324"/>
      <c r="K1245" s="324" t="s">
        <v>931</v>
      </c>
      <c r="L1245" s="346">
        <f>SUM(L1243:L1244)</f>
        <v>57635</v>
      </c>
      <c r="M1245" s="346">
        <f t="shared" ref="M1245:T1245" si="539">SUM(M1243:M1244)</f>
        <v>58131</v>
      </c>
      <c r="N1245" s="276">
        <f t="shared" si="539"/>
        <v>63601</v>
      </c>
      <c r="O1245" s="276">
        <f t="shared" si="539"/>
        <v>63601</v>
      </c>
      <c r="P1245" s="346">
        <f t="shared" si="539"/>
        <v>52418</v>
      </c>
      <c r="Q1245" s="346">
        <f t="shared" si="539"/>
        <v>54720</v>
      </c>
      <c r="R1245" s="346">
        <f t="shared" si="539"/>
        <v>56201</v>
      </c>
      <c r="S1245" s="346">
        <f t="shared" si="539"/>
        <v>57783</v>
      </c>
      <c r="T1245" s="346">
        <f t="shared" si="539"/>
        <v>59467</v>
      </c>
      <c r="U1245" s="518"/>
      <c r="V1245" s="605"/>
    </row>
    <row r="1246" spans="1:22" s="385" customFormat="1" ht="24" customHeight="1">
      <c r="I1246" s="601"/>
      <c r="J1246" s="601"/>
      <c r="K1246" s="601"/>
      <c r="L1246" s="268"/>
      <c r="M1246" s="268"/>
      <c r="N1246" s="538"/>
      <c r="O1246" s="538"/>
      <c r="P1246" s="268"/>
      <c r="Q1246" s="268"/>
      <c r="R1246" s="268"/>
      <c r="S1246" s="268"/>
      <c r="T1246" s="268"/>
      <c r="U1246" s="518"/>
      <c r="V1246" s="605"/>
    </row>
    <row r="1247" spans="1:22" s="385" customFormat="1" ht="24" customHeight="1">
      <c r="I1247" s="752" t="s">
        <v>931</v>
      </c>
      <c r="J1247" s="752"/>
      <c r="K1247" s="324" t="s">
        <v>845</v>
      </c>
      <c r="L1247" s="268"/>
      <c r="M1247" s="268"/>
      <c r="N1247" s="538"/>
      <c r="O1247" s="538"/>
      <c r="P1247" s="268"/>
      <c r="Q1247" s="268"/>
      <c r="R1247" s="268"/>
      <c r="S1247" s="268"/>
      <c r="T1247" s="268"/>
      <c r="U1247" s="518"/>
      <c r="V1247" s="605"/>
    </row>
    <row r="1248" spans="1:22" s="385" customFormat="1" ht="24" customHeight="1">
      <c r="I1248" s="601"/>
      <c r="J1248" s="601"/>
      <c r="K1248" s="601" t="s">
        <v>1428</v>
      </c>
      <c r="L1248" s="268">
        <f t="shared" ref="L1248:T1248" si="540">L1237+L1243</f>
        <v>271231</v>
      </c>
      <c r="M1248" s="268">
        <f t="shared" si="540"/>
        <v>290356</v>
      </c>
      <c r="N1248" s="538">
        <f t="shared" si="540"/>
        <v>343423</v>
      </c>
      <c r="O1248" s="538">
        <f t="shared" si="540"/>
        <v>343423</v>
      </c>
      <c r="P1248" s="268">
        <f t="shared" si="540"/>
        <v>328401</v>
      </c>
      <c r="Q1248" s="268">
        <f t="shared" si="540"/>
        <v>370324</v>
      </c>
      <c r="R1248" s="268">
        <f t="shared" si="540"/>
        <v>497139</v>
      </c>
      <c r="S1248" s="268">
        <f t="shared" si="540"/>
        <v>544569</v>
      </c>
      <c r="T1248" s="268">
        <f t="shared" si="540"/>
        <v>596791</v>
      </c>
      <c r="U1248" s="518"/>
      <c r="V1248" s="605"/>
    </row>
    <row r="1249" spans="1:23" s="385" customFormat="1" ht="24" customHeight="1">
      <c r="I1249" s="601"/>
      <c r="J1249" s="601"/>
      <c r="K1249" s="601" t="s">
        <v>1159</v>
      </c>
      <c r="L1249" s="268">
        <f>L1238</f>
        <v>438711</v>
      </c>
      <c r="M1249" s="268">
        <f t="shared" ref="M1249:T1249" si="541">M1238</f>
        <v>524120</v>
      </c>
      <c r="N1249" s="538">
        <f t="shared" si="541"/>
        <v>614005</v>
      </c>
      <c r="O1249" s="538">
        <f t="shared" si="541"/>
        <v>624168</v>
      </c>
      <c r="P1249" s="268">
        <f t="shared" si="541"/>
        <v>728477</v>
      </c>
      <c r="Q1249" s="268">
        <f t="shared" si="541"/>
        <v>778477</v>
      </c>
      <c r="R1249" s="268">
        <f t="shared" si="541"/>
        <v>828477</v>
      </c>
      <c r="S1249" s="268">
        <f t="shared" si="541"/>
        <v>878477</v>
      </c>
      <c r="T1249" s="268">
        <f t="shared" si="541"/>
        <v>928477</v>
      </c>
      <c r="U1249" s="518"/>
      <c r="V1249" s="605"/>
    </row>
    <row r="1250" spans="1:23" s="385" customFormat="1" ht="24" customHeight="1">
      <c r="I1250" s="601"/>
      <c r="J1250" s="601"/>
      <c r="K1250" s="601" t="s">
        <v>1429</v>
      </c>
      <c r="L1250" s="597">
        <f t="shared" ref="L1250:T1250" si="542">L1239+L1244</f>
        <v>366155</v>
      </c>
      <c r="M1250" s="597">
        <f t="shared" si="542"/>
        <v>374322</v>
      </c>
      <c r="N1250" s="686">
        <f t="shared" si="542"/>
        <v>433690</v>
      </c>
      <c r="O1250" s="686">
        <f t="shared" si="542"/>
        <v>433690</v>
      </c>
      <c r="P1250" s="597">
        <f t="shared" si="542"/>
        <v>447851</v>
      </c>
      <c r="Q1250" s="597">
        <f t="shared" si="542"/>
        <v>462481</v>
      </c>
      <c r="R1250" s="597">
        <f t="shared" si="542"/>
        <v>477622</v>
      </c>
      <c r="S1250" s="597">
        <f t="shared" si="542"/>
        <v>493293</v>
      </c>
      <c r="T1250" s="597">
        <f t="shared" si="542"/>
        <v>509513</v>
      </c>
      <c r="U1250" s="518"/>
      <c r="V1250" s="605"/>
    </row>
    <row r="1251" spans="1:23" s="385" customFormat="1" ht="24" customHeight="1">
      <c r="I1251" s="324"/>
      <c r="J1251" s="324"/>
      <c r="K1251" s="324" t="s">
        <v>931</v>
      </c>
      <c r="L1251" s="346">
        <f>SUM(L1248:L1250)</f>
        <v>1076097</v>
      </c>
      <c r="M1251" s="346">
        <f t="shared" ref="M1251:T1251" si="543">SUM(M1248:M1250)</f>
        <v>1188798</v>
      </c>
      <c r="N1251" s="276">
        <f t="shared" si="543"/>
        <v>1391118</v>
      </c>
      <c r="O1251" s="276">
        <f t="shared" si="543"/>
        <v>1401281</v>
      </c>
      <c r="P1251" s="346">
        <f t="shared" si="543"/>
        <v>1504729</v>
      </c>
      <c r="Q1251" s="346">
        <f t="shared" si="543"/>
        <v>1611282</v>
      </c>
      <c r="R1251" s="346">
        <f t="shared" si="543"/>
        <v>1803238</v>
      </c>
      <c r="S1251" s="346">
        <f t="shared" si="543"/>
        <v>1916339</v>
      </c>
      <c r="T1251" s="346">
        <f t="shared" si="543"/>
        <v>2034781</v>
      </c>
      <c r="U1251" s="518"/>
      <c r="V1251" s="605"/>
    </row>
    <row r="1252" spans="1:23" s="255" customFormat="1" ht="24" customHeight="1">
      <c r="L1252" s="271"/>
      <c r="M1252" s="271"/>
      <c r="N1252" s="272"/>
      <c r="O1252" s="272"/>
      <c r="P1252" s="271"/>
      <c r="Q1252" s="271"/>
      <c r="R1252" s="271"/>
      <c r="S1252" s="271"/>
      <c r="T1252" s="271"/>
      <c r="U1252" s="542"/>
    </row>
    <row r="1253" spans="1:23" s="379" customFormat="1" ht="24" customHeight="1">
      <c r="A1253" s="755" t="s">
        <v>1449</v>
      </c>
      <c r="B1253" s="755"/>
      <c r="C1253" s="755"/>
      <c r="D1253" s="755"/>
      <c r="E1253" s="755"/>
      <c r="F1253" s="755"/>
      <c r="G1253" s="755"/>
      <c r="H1253" s="755"/>
      <c r="I1253" s="755"/>
      <c r="J1253" s="755"/>
      <c r="K1253" s="755"/>
      <c r="L1253" s="381"/>
      <c r="M1253" s="381"/>
      <c r="N1253" s="381"/>
      <c r="O1253" s="381"/>
      <c r="P1253" s="381"/>
      <c r="Q1253" s="381"/>
      <c r="R1253" s="381"/>
      <c r="S1253" s="381"/>
      <c r="T1253" s="381"/>
      <c r="U1253" s="541"/>
      <c r="V1253" s="647"/>
      <c r="W1253" s="647"/>
    </row>
    <row r="1254" spans="1:23" s="324" customFormat="1" ht="24" customHeight="1">
      <c r="G1254" s="748" t="s">
        <v>977</v>
      </c>
      <c r="H1254" s="748"/>
      <c r="I1254" s="748"/>
      <c r="J1254" s="748"/>
      <c r="K1254" s="748"/>
      <c r="L1254" s="316">
        <f>SUM(L1255:L1258)</f>
        <v>202575</v>
      </c>
      <c r="M1254" s="316">
        <f>SUM(M1255:M1258)</f>
        <v>337767</v>
      </c>
      <c r="N1254" s="317">
        <f t="shared" ref="N1254:O1254" si="544">SUM(N1255:N1258)</f>
        <v>335866</v>
      </c>
      <c r="O1254" s="317">
        <f t="shared" si="544"/>
        <v>337766</v>
      </c>
      <c r="P1254" s="316">
        <f t="shared" ref="P1254:R1254" si="545">SUM(P1255:P1258)</f>
        <v>337766</v>
      </c>
      <c r="Q1254" s="316">
        <f t="shared" si="545"/>
        <v>337766</v>
      </c>
      <c r="R1254" s="316">
        <f t="shared" si="545"/>
        <v>337766</v>
      </c>
      <c r="S1254" s="316">
        <f>SUM(S1255:S1258)</f>
        <v>337766</v>
      </c>
      <c r="T1254" s="316">
        <f>SUM(T1255:T1258)</f>
        <v>337766</v>
      </c>
      <c r="U1254" s="542"/>
      <c r="V1254" s="651"/>
      <c r="W1254" s="651"/>
    </row>
    <row r="1255" spans="1:23" s="255" customFormat="1" ht="24" customHeight="1">
      <c r="K1255" s="255" t="s">
        <v>994</v>
      </c>
      <c r="L1255" s="285">
        <f t="shared" ref="L1255:T1255" si="546">L348</f>
        <v>76652</v>
      </c>
      <c r="M1255" s="285">
        <f t="shared" si="546"/>
        <v>121900</v>
      </c>
      <c r="N1255" s="286">
        <f t="shared" si="546"/>
        <v>73787</v>
      </c>
      <c r="O1255" s="286">
        <f t="shared" si="546"/>
        <v>73787</v>
      </c>
      <c r="P1255" s="285">
        <f t="shared" si="546"/>
        <v>73787</v>
      </c>
      <c r="Q1255" s="285">
        <f t="shared" si="546"/>
        <v>73787</v>
      </c>
      <c r="R1255" s="285">
        <f t="shared" si="546"/>
        <v>73787</v>
      </c>
      <c r="S1255" s="285">
        <f t="shared" si="546"/>
        <v>73787</v>
      </c>
      <c r="T1255" s="285">
        <f t="shared" si="546"/>
        <v>73787</v>
      </c>
      <c r="U1255" s="542"/>
      <c r="V1255" s="271"/>
      <c r="W1255" s="271"/>
    </row>
    <row r="1256" spans="1:23" s="255" customFormat="1" ht="24" customHeight="1">
      <c r="K1256" s="255" t="s">
        <v>679</v>
      </c>
      <c r="L1256" s="285">
        <f t="shared" ref="L1256:T1256" si="547">L628</f>
        <v>75305</v>
      </c>
      <c r="M1256" s="285">
        <f t="shared" si="547"/>
        <v>129094</v>
      </c>
      <c r="N1256" s="286">
        <f t="shared" si="547"/>
        <v>195548</v>
      </c>
      <c r="O1256" s="286">
        <f t="shared" si="547"/>
        <v>197544</v>
      </c>
      <c r="P1256" s="285">
        <f t="shared" si="547"/>
        <v>197544</v>
      </c>
      <c r="Q1256" s="285">
        <f t="shared" si="547"/>
        <v>197544</v>
      </c>
      <c r="R1256" s="285">
        <f t="shared" si="547"/>
        <v>197544</v>
      </c>
      <c r="S1256" s="285">
        <f t="shared" si="547"/>
        <v>197544</v>
      </c>
      <c r="T1256" s="285">
        <f t="shared" si="547"/>
        <v>197544</v>
      </c>
      <c r="U1256" s="542"/>
      <c r="V1256" s="271"/>
      <c r="W1256" s="271"/>
    </row>
    <row r="1257" spans="1:23" s="255" customFormat="1" ht="24" customHeight="1">
      <c r="K1257" s="255" t="s">
        <v>680</v>
      </c>
      <c r="L1257" s="285">
        <f t="shared" ref="L1257:T1257" si="548">L720</f>
        <v>38951</v>
      </c>
      <c r="M1257" s="285">
        <f t="shared" si="548"/>
        <v>66773</v>
      </c>
      <c r="N1257" s="286">
        <f t="shared" si="548"/>
        <v>59098</v>
      </c>
      <c r="O1257" s="286">
        <f t="shared" si="548"/>
        <v>59015</v>
      </c>
      <c r="P1257" s="285">
        <f t="shared" si="548"/>
        <v>59015</v>
      </c>
      <c r="Q1257" s="285">
        <f t="shared" si="548"/>
        <v>59015</v>
      </c>
      <c r="R1257" s="285">
        <f t="shared" si="548"/>
        <v>59015</v>
      </c>
      <c r="S1257" s="285">
        <f t="shared" si="548"/>
        <v>59015</v>
      </c>
      <c r="T1257" s="285">
        <f t="shared" si="548"/>
        <v>59015</v>
      </c>
      <c r="U1257" s="542"/>
      <c r="V1257" s="271"/>
      <c r="W1257" s="271"/>
    </row>
    <row r="1258" spans="1:23" s="255" customFormat="1" ht="24" customHeight="1">
      <c r="K1258" s="255" t="s">
        <v>593</v>
      </c>
      <c r="L1258" s="285">
        <f t="shared" ref="L1258:T1258" si="549">L1081</f>
        <v>11667</v>
      </c>
      <c r="M1258" s="285">
        <f t="shared" si="549"/>
        <v>20000</v>
      </c>
      <c r="N1258" s="286">
        <f t="shared" si="549"/>
        <v>7433</v>
      </c>
      <c r="O1258" s="286">
        <f t="shared" si="549"/>
        <v>7420</v>
      </c>
      <c r="P1258" s="285">
        <f t="shared" si="549"/>
        <v>7420</v>
      </c>
      <c r="Q1258" s="285">
        <f t="shared" si="549"/>
        <v>7420</v>
      </c>
      <c r="R1258" s="285">
        <f t="shared" si="549"/>
        <v>7420</v>
      </c>
      <c r="S1258" s="285">
        <f t="shared" si="549"/>
        <v>7420</v>
      </c>
      <c r="T1258" s="285">
        <f t="shared" si="549"/>
        <v>7420</v>
      </c>
      <c r="U1258" s="542"/>
      <c r="V1258" s="271"/>
      <c r="W1258" s="271"/>
    </row>
    <row r="1259" spans="1:23" s="479" customFormat="1" ht="24" customHeight="1">
      <c r="L1259" s="285"/>
      <c r="M1259" s="285"/>
      <c r="N1259" s="286"/>
      <c r="O1259" s="286"/>
      <c r="P1259" s="285"/>
      <c r="Q1259" s="285"/>
      <c r="R1259" s="285"/>
      <c r="S1259" s="285"/>
      <c r="T1259" s="285"/>
      <c r="U1259" s="542"/>
    </row>
    <row r="1260" spans="1:23" s="479" customFormat="1" ht="24" customHeight="1">
      <c r="G1260" s="748" t="s">
        <v>1284</v>
      </c>
      <c r="H1260" s="748"/>
      <c r="I1260" s="748"/>
      <c r="J1260" s="748"/>
      <c r="K1260" s="748"/>
      <c r="L1260" s="316">
        <f>SUM(L1261:L1264)</f>
        <v>0</v>
      </c>
      <c r="M1260" s="316">
        <f>SUM(M1261:M1264)</f>
        <v>951589</v>
      </c>
      <c r="N1260" s="317">
        <f t="shared" ref="N1260:O1260" si="550">SUM(N1261:N1264)</f>
        <v>1218000</v>
      </c>
      <c r="O1260" s="317">
        <f t="shared" si="550"/>
        <v>1218000</v>
      </c>
      <c r="P1260" s="316">
        <f t="shared" ref="P1260:R1260" si="551">SUM(P1261:P1264)</f>
        <v>1300000</v>
      </c>
      <c r="Q1260" s="316">
        <f t="shared" si="551"/>
        <v>1300000</v>
      </c>
      <c r="R1260" s="316">
        <f t="shared" si="551"/>
        <v>886040</v>
      </c>
      <c r="S1260" s="316">
        <f>SUM(S1261:S1264)</f>
        <v>730668</v>
      </c>
      <c r="T1260" s="316">
        <f>SUM(T1261:T1264)</f>
        <v>683557</v>
      </c>
      <c r="U1260" s="542"/>
      <c r="V1260" s="651"/>
      <c r="W1260" s="651"/>
    </row>
    <row r="1261" spans="1:23" s="479" customFormat="1" ht="24" customHeight="1">
      <c r="G1261" s="484"/>
      <c r="H1261" s="484"/>
      <c r="I1261" s="484"/>
      <c r="J1261" s="484"/>
      <c r="K1261" s="484" t="s">
        <v>994</v>
      </c>
      <c r="L1261" s="285">
        <f t="shared" ref="L1261:T1261" si="552">L345</f>
        <v>0</v>
      </c>
      <c r="M1261" s="285">
        <f t="shared" si="552"/>
        <v>193042</v>
      </c>
      <c r="N1261" s="286">
        <f t="shared" si="552"/>
        <v>275000</v>
      </c>
      <c r="O1261" s="286">
        <f t="shared" si="552"/>
        <v>275000</v>
      </c>
      <c r="P1261" s="285">
        <f t="shared" si="552"/>
        <v>300000</v>
      </c>
      <c r="Q1261" s="285">
        <f t="shared" si="552"/>
        <v>300000</v>
      </c>
      <c r="R1261" s="285">
        <f t="shared" si="552"/>
        <v>200000</v>
      </c>
      <c r="S1261" s="285">
        <f t="shared" si="552"/>
        <v>200000</v>
      </c>
      <c r="T1261" s="285">
        <f t="shared" si="552"/>
        <v>74770</v>
      </c>
      <c r="U1261" s="542"/>
      <c r="V1261" s="271"/>
      <c r="W1261" s="271"/>
    </row>
    <row r="1262" spans="1:23" s="479" customFormat="1" ht="24" customHeight="1">
      <c r="G1262" s="484"/>
      <c r="H1262" s="484"/>
      <c r="I1262" s="484"/>
      <c r="J1262" s="484"/>
      <c r="K1262" s="484" t="s">
        <v>904</v>
      </c>
      <c r="L1262" s="285">
        <f t="shared" ref="L1262:T1262" si="553">L419</f>
        <v>0</v>
      </c>
      <c r="M1262" s="285">
        <f t="shared" si="553"/>
        <v>605242</v>
      </c>
      <c r="N1262" s="286">
        <f t="shared" si="553"/>
        <v>390000</v>
      </c>
      <c r="O1262" s="286">
        <f t="shared" si="553"/>
        <v>390000</v>
      </c>
      <c r="P1262" s="285">
        <f t="shared" si="553"/>
        <v>500000</v>
      </c>
      <c r="Q1262" s="285">
        <f t="shared" si="553"/>
        <v>500000</v>
      </c>
      <c r="R1262" s="285">
        <f t="shared" si="553"/>
        <v>386040</v>
      </c>
      <c r="S1262" s="285">
        <f t="shared" si="553"/>
        <v>230668</v>
      </c>
      <c r="T1262" s="285">
        <f t="shared" si="553"/>
        <v>308787</v>
      </c>
      <c r="U1262" s="542"/>
      <c r="V1262" s="271"/>
      <c r="W1262" s="271"/>
    </row>
    <row r="1263" spans="1:23" s="479" customFormat="1" ht="24" customHeight="1">
      <c r="G1263" s="484"/>
      <c r="H1263" s="484"/>
      <c r="I1263" s="484"/>
      <c r="J1263" s="484"/>
      <c r="K1263" s="484" t="s">
        <v>679</v>
      </c>
      <c r="L1263" s="285">
        <f t="shared" ref="L1263:T1263" si="554">L624</f>
        <v>0</v>
      </c>
      <c r="M1263" s="285">
        <f t="shared" si="554"/>
        <v>153305</v>
      </c>
      <c r="N1263" s="286">
        <f t="shared" si="554"/>
        <v>353000</v>
      </c>
      <c r="O1263" s="286">
        <f t="shared" si="554"/>
        <v>353000</v>
      </c>
      <c r="P1263" s="285">
        <f t="shared" si="554"/>
        <v>300000</v>
      </c>
      <c r="Q1263" s="285">
        <f t="shared" si="554"/>
        <v>300000</v>
      </c>
      <c r="R1263" s="285">
        <f t="shared" si="554"/>
        <v>100000</v>
      </c>
      <c r="S1263" s="285">
        <f t="shared" si="554"/>
        <v>100000</v>
      </c>
      <c r="T1263" s="285">
        <f t="shared" si="554"/>
        <v>100000</v>
      </c>
      <c r="U1263" s="542"/>
      <c r="V1263" s="271"/>
      <c r="W1263" s="271"/>
    </row>
    <row r="1264" spans="1:23" s="479" customFormat="1" ht="24" customHeight="1">
      <c r="G1264" s="484"/>
      <c r="H1264" s="484"/>
      <c r="I1264" s="484"/>
      <c r="J1264" s="484"/>
      <c r="K1264" s="484" t="s">
        <v>680</v>
      </c>
      <c r="L1264" s="285">
        <f t="shared" ref="L1264:T1264" si="555">L717</f>
        <v>0</v>
      </c>
      <c r="M1264" s="285">
        <f t="shared" si="555"/>
        <v>0</v>
      </c>
      <c r="N1264" s="286">
        <f t="shared" si="555"/>
        <v>200000</v>
      </c>
      <c r="O1264" s="286">
        <f t="shared" si="555"/>
        <v>200000</v>
      </c>
      <c r="P1264" s="285">
        <f t="shared" si="555"/>
        <v>200000</v>
      </c>
      <c r="Q1264" s="285">
        <f t="shared" si="555"/>
        <v>200000</v>
      </c>
      <c r="R1264" s="285">
        <f t="shared" si="555"/>
        <v>200000</v>
      </c>
      <c r="S1264" s="285">
        <f t="shared" si="555"/>
        <v>200000</v>
      </c>
      <c r="T1264" s="285">
        <f t="shared" si="555"/>
        <v>200000</v>
      </c>
      <c r="U1264" s="542"/>
      <c r="V1264" s="271"/>
      <c r="W1264" s="271"/>
    </row>
    <row r="1265" spans="7:23" s="485" customFormat="1" ht="24" customHeight="1">
      <c r="L1265" s="285"/>
      <c r="M1265" s="285"/>
      <c r="N1265" s="286"/>
      <c r="O1265" s="286"/>
      <c r="P1265" s="285"/>
      <c r="Q1265" s="285"/>
      <c r="R1265" s="285"/>
      <c r="S1265" s="285"/>
      <c r="T1265" s="285"/>
      <c r="U1265" s="542"/>
    </row>
    <row r="1266" spans="7:23" s="485" customFormat="1" ht="24" customHeight="1">
      <c r="G1266" s="748" t="s">
        <v>1280</v>
      </c>
      <c r="H1266" s="748"/>
      <c r="I1266" s="748"/>
      <c r="J1266" s="748"/>
      <c r="K1266" s="748"/>
      <c r="L1266" s="316">
        <f t="shared" ref="L1266" si="556">SUM(L1267:L1269)</f>
        <v>0</v>
      </c>
      <c r="M1266" s="316">
        <f>SUM(M1267:M1269)</f>
        <v>-1</v>
      </c>
      <c r="N1266" s="317">
        <f t="shared" ref="N1266:T1266" si="557">SUM(N1267:N1269)</f>
        <v>0</v>
      </c>
      <c r="O1266" s="317">
        <f t="shared" ref="O1266" si="558">SUM(O1267:O1269)</f>
        <v>0</v>
      </c>
      <c r="P1266" s="316">
        <f t="shared" ref="P1266:S1266" si="559">SUM(P1267:P1269)</f>
        <v>0</v>
      </c>
      <c r="Q1266" s="316">
        <f t="shared" si="559"/>
        <v>0</v>
      </c>
      <c r="R1266" s="316">
        <f t="shared" si="559"/>
        <v>0</v>
      </c>
      <c r="S1266" s="316">
        <f t="shared" si="559"/>
        <v>0</v>
      </c>
      <c r="T1266" s="316">
        <f t="shared" si="557"/>
        <v>0</v>
      </c>
      <c r="U1266" s="542"/>
      <c r="V1266" s="651"/>
      <c r="W1266" s="651"/>
    </row>
    <row r="1267" spans="7:23" s="485" customFormat="1" ht="24" customHeight="1">
      <c r="K1267" s="485" t="s">
        <v>1278</v>
      </c>
      <c r="L1267" s="285">
        <f t="shared" ref="L1267:T1267" si="560">L428</f>
        <v>20007</v>
      </c>
      <c r="M1267" s="285">
        <f t="shared" si="560"/>
        <v>87147</v>
      </c>
      <c r="N1267" s="286">
        <f t="shared" si="560"/>
        <v>97700</v>
      </c>
      <c r="O1267" s="286">
        <f t="shared" si="560"/>
        <v>81500</v>
      </c>
      <c r="P1267" s="285">
        <f t="shared" si="560"/>
        <v>42500</v>
      </c>
      <c r="Q1267" s="285">
        <f t="shared" si="560"/>
        <v>408900</v>
      </c>
      <c r="R1267" s="285">
        <f t="shared" si="560"/>
        <v>45500</v>
      </c>
      <c r="S1267" s="285">
        <f t="shared" si="560"/>
        <v>0</v>
      </c>
      <c r="T1267" s="285">
        <f t="shared" si="560"/>
        <v>0</v>
      </c>
      <c r="U1267" s="542"/>
      <c r="V1267" s="271"/>
      <c r="W1267" s="271"/>
    </row>
    <row r="1268" spans="7:23" s="485" customFormat="1" ht="24" customHeight="1">
      <c r="K1268" s="480" t="s">
        <v>1279</v>
      </c>
      <c r="L1268" s="481">
        <f t="shared" ref="L1268:T1268" si="561">-L378</f>
        <v>0</v>
      </c>
      <c r="M1268" s="481">
        <f t="shared" si="561"/>
        <v>-85724</v>
      </c>
      <c r="N1268" s="496">
        <f t="shared" si="561"/>
        <v>-73960</v>
      </c>
      <c r="O1268" s="496">
        <f t="shared" si="561"/>
        <v>-65200</v>
      </c>
      <c r="P1268" s="481">
        <f t="shared" si="561"/>
        <v>-29800</v>
      </c>
      <c r="Q1268" s="481">
        <f t="shared" si="561"/>
        <v>-114160</v>
      </c>
      <c r="R1268" s="481">
        <f t="shared" si="561"/>
        <v>-12720</v>
      </c>
      <c r="S1268" s="481">
        <f t="shared" si="561"/>
        <v>0</v>
      </c>
      <c r="T1268" s="481">
        <f t="shared" si="561"/>
        <v>0</v>
      </c>
      <c r="U1268" s="542"/>
      <c r="V1268" s="492"/>
      <c r="W1268" s="492"/>
    </row>
    <row r="1269" spans="7:23" s="485" customFormat="1" ht="24" customHeight="1">
      <c r="K1269" s="480" t="s">
        <v>1281</v>
      </c>
      <c r="L1269" s="481">
        <f t="shared" ref="L1269:T1269" si="562">-L389</f>
        <v>-20007</v>
      </c>
      <c r="M1269" s="481">
        <f t="shared" si="562"/>
        <v>-1424</v>
      </c>
      <c r="N1269" s="496">
        <f t="shared" si="562"/>
        <v>-23740</v>
      </c>
      <c r="O1269" s="496">
        <f t="shared" si="562"/>
        <v>-16300</v>
      </c>
      <c r="P1269" s="481">
        <f t="shared" si="562"/>
        <v>-12700</v>
      </c>
      <c r="Q1269" s="481">
        <f t="shared" si="562"/>
        <v>-294740</v>
      </c>
      <c r="R1269" s="481">
        <f t="shared" si="562"/>
        <v>-32780</v>
      </c>
      <c r="S1269" s="481">
        <f t="shared" si="562"/>
        <v>0</v>
      </c>
      <c r="T1269" s="481">
        <f t="shared" si="562"/>
        <v>0</v>
      </c>
      <c r="U1269" s="542"/>
      <c r="V1269" s="492"/>
      <c r="W1269" s="492"/>
    </row>
    <row r="1270" spans="7:23" s="485" customFormat="1" ht="24" customHeight="1">
      <c r="K1270" s="480"/>
      <c r="L1270" s="481"/>
      <c r="M1270" s="481"/>
      <c r="N1270" s="496"/>
      <c r="O1270" s="496"/>
      <c r="P1270" s="481"/>
      <c r="Q1270" s="481"/>
      <c r="R1270" s="481"/>
      <c r="S1270" s="481"/>
      <c r="T1270" s="481"/>
      <c r="U1270" s="542"/>
    </row>
    <row r="1271" spans="7:23" s="485" customFormat="1" ht="24" customHeight="1">
      <c r="G1271" s="748" t="s">
        <v>1282</v>
      </c>
      <c r="H1271" s="748"/>
      <c r="I1271" s="748"/>
      <c r="J1271" s="748"/>
      <c r="K1271" s="748"/>
      <c r="L1271" s="316">
        <f t="shared" ref="L1271" si="563">SUM(L1272:L1273)</f>
        <v>0</v>
      </c>
      <c r="M1271" s="316">
        <f t="shared" ref="M1271:T1271" si="564">SUM(M1272:M1273)</f>
        <v>173</v>
      </c>
      <c r="N1271" s="317">
        <f t="shared" si="564"/>
        <v>277732</v>
      </c>
      <c r="O1271" s="317">
        <f t="shared" ref="O1271" si="565">SUM(O1272:O1273)</f>
        <v>0</v>
      </c>
      <c r="P1271" s="316">
        <f t="shared" ref="P1271:S1271" si="566">SUM(P1272:P1273)</f>
        <v>0</v>
      </c>
      <c r="Q1271" s="316">
        <f t="shared" si="566"/>
        <v>0</v>
      </c>
      <c r="R1271" s="316">
        <f t="shared" si="566"/>
        <v>0</v>
      </c>
      <c r="S1271" s="316">
        <f t="shared" si="566"/>
        <v>0</v>
      </c>
      <c r="T1271" s="316">
        <f t="shared" si="564"/>
        <v>0</v>
      </c>
      <c r="U1271" s="542"/>
      <c r="V1271" s="651"/>
      <c r="W1271" s="651"/>
    </row>
    <row r="1272" spans="7:23" s="485" customFormat="1" ht="24" customHeight="1">
      <c r="K1272" s="485" t="s">
        <v>1278</v>
      </c>
      <c r="L1272" s="285">
        <f t="shared" ref="L1272:T1272" si="567">L415</f>
        <v>0</v>
      </c>
      <c r="M1272" s="285">
        <f t="shared" si="567"/>
        <v>88105</v>
      </c>
      <c r="N1272" s="286">
        <f t="shared" si="567"/>
        <v>1139622</v>
      </c>
      <c r="O1272" s="286">
        <f t="shared" si="567"/>
        <v>1129606</v>
      </c>
      <c r="P1272" s="285">
        <f t="shared" si="567"/>
        <v>55000</v>
      </c>
      <c r="Q1272" s="285">
        <f t="shared" si="567"/>
        <v>0</v>
      </c>
      <c r="R1272" s="285">
        <f t="shared" si="567"/>
        <v>0</v>
      </c>
      <c r="S1272" s="285">
        <f t="shared" si="567"/>
        <v>0</v>
      </c>
      <c r="T1272" s="285">
        <f t="shared" si="567"/>
        <v>0</v>
      </c>
      <c r="U1272" s="542"/>
      <c r="V1272" s="271"/>
      <c r="W1272" s="271"/>
    </row>
    <row r="1273" spans="7:23" s="485" customFormat="1" ht="24" customHeight="1">
      <c r="K1273" s="480" t="s">
        <v>1283</v>
      </c>
      <c r="L1273" s="481">
        <f t="shared" ref="L1273:T1273" si="568">-L388</f>
        <v>0</v>
      </c>
      <c r="M1273" s="481">
        <f t="shared" si="568"/>
        <v>-87932</v>
      </c>
      <c r="N1273" s="496">
        <f t="shared" si="568"/>
        <v>-861890</v>
      </c>
      <c r="O1273" s="496">
        <f t="shared" si="568"/>
        <v>-1129606</v>
      </c>
      <c r="P1273" s="481">
        <f t="shared" si="568"/>
        <v>-55000</v>
      </c>
      <c r="Q1273" s="481">
        <f t="shared" si="568"/>
        <v>0</v>
      </c>
      <c r="R1273" s="481">
        <f t="shared" si="568"/>
        <v>0</v>
      </c>
      <c r="S1273" s="481">
        <f t="shared" si="568"/>
        <v>0</v>
      </c>
      <c r="T1273" s="481">
        <f t="shared" si="568"/>
        <v>0</v>
      </c>
      <c r="U1273" s="542"/>
      <c r="V1273" s="492"/>
      <c r="W1273" s="492"/>
    </row>
    <row r="1274" spans="7:23" s="491" customFormat="1" ht="24" customHeight="1">
      <c r="K1274" s="480"/>
      <c r="L1274" s="481"/>
      <c r="M1274" s="481"/>
      <c r="N1274" s="496"/>
      <c r="O1274" s="496"/>
      <c r="P1274" s="481"/>
      <c r="Q1274" s="481"/>
      <c r="R1274" s="481"/>
      <c r="S1274" s="481"/>
      <c r="T1274" s="481"/>
      <c r="U1274" s="542"/>
    </row>
    <row r="1275" spans="7:23" s="491" customFormat="1" ht="24" customHeight="1">
      <c r="G1275" s="748" t="s">
        <v>1296</v>
      </c>
      <c r="H1275" s="748"/>
      <c r="I1275" s="748"/>
      <c r="J1275" s="748"/>
      <c r="K1275" s="748"/>
      <c r="L1275" s="316">
        <f t="shared" ref="L1275:T1275" si="569">SUM(L1276:L1278)</f>
        <v>30000</v>
      </c>
      <c r="M1275" s="316">
        <f t="shared" si="569"/>
        <v>99820</v>
      </c>
      <c r="N1275" s="317">
        <f t="shared" si="569"/>
        <v>258000</v>
      </c>
      <c r="O1275" s="317">
        <f t="shared" si="569"/>
        <v>338224</v>
      </c>
      <c r="P1275" s="316">
        <f t="shared" si="569"/>
        <v>2048501</v>
      </c>
      <c r="Q1275" s="316">
        <f t="shared" si="569"/>
        <v>0</v>
      </c>
      <c r="R1275" s="316">
        <f t="shared" si="569"/>
        <v>0</v>
      </c>
      <c r="S1275" s="316">
        <f t="shared" si="569"/>
        <v>0</v>
      </c>
      <c r="T1275" s="316">
        <f t="shared" si="569"/>
        <v>0</v>
      </c>
      <c r="U1275" s="542"/>
      <c r="V1275" s="651"/>
      <c r="W1275" s="651"/>
    </row>
    <row r="1276" spans="7:23" s="491" customFormat="1" ht="24" customHeight="1">
      <c r="G1276" s="490"/>
      <c r="H1276" s="490"/>
      <c r="I1276" s="490"/>
      <c r="J1276" s="490"/>
      <c r="K1276" s="491" t="s">
        <v>994</v>
      </c>
      <c r="L1276" s="285">
        <f>L347</f>
        <v>30000</v>
      </c>
      <c r="M1276" s="285">
        <f t="shared" ref="M1276:T1276" si="570">M347</f>
        <v>169890</v>
      </c>
      <c r="N1276" s="286">
        <f t="shared" si="570"/>
        <v>0</v>
      </c>
      <c r="O1276" s="286">
        <f t="shared" si="570"/>
        <v>73450</v>
      </c>
      <c r="P1276" s="285">
        <f t="shared" si="570"/>
        <v>0</v>
      </c>
      <c r="Q1276" s="285">
        <f t="shared" si="570"/>
        <v>0</v>
      </c>
      <c r="R1276" s="285">
        <f t="shared" si="570"/>
        <v>0</v>
      </c>
      <c r="S1276" s="285">
        <f t="shared" si="570"/>
        <v>0</v>
      </c>
      <c r="T1276" s="285">
        <f t="shared" si="570"/>
        <v>0</v>
      </c>
      <c r="U1276" s="542"/>
      <c r="V1276" s="271"/>
      <c r="W1276" s="271"/>
    </row>
    <row r="1277" spans="7:23" s="648" customFormat="1" ht="24" customHeight="1">
      <c r="G1277" s="649"/>
      <c r="H1277" s="649"/>
      <c r="I1277" s="649"/>
      <c r="J1277" s="649"/>
      <c r="K1277" s="480" t="s">
        <v>1279</v>
      </c>
      <c r="L1277" s="481">
        <f>-L324</f>
        <v>0</v>
      </c>
      <c r="M1277" s="481">
        <f t="shared" ref="M1277:T1277" si="571">-M324</f>
        <v>-75195</v>
      </c>
      <c r="N1277" s="496">
        <f t="shared" si="571"/>
        <v>0</v>
      </c>
      <c r="O1277" s="496">
        <f t="shared" si="571"/>
        <v>-36725</v>
      </c>
      <c r="P1277" s="481">
        <f t="shared" si="571"/>
        <v>0</v>
      </c>
      <c r="Q1277" s="481">
        <f t="shared" si="571"/>
        <v>0</v>
      </c>
      <c r="R1277" s="481">
        <f t="shared" si="571"/>
        <v>0</v>
      </c>
      <c r="S1277" s="481">
        <f t="shared" si="571"/>
        <v>0</v>
      </c>
      <c r="T1277" s="481">
        <f t="shared" si="571"/>
        <v>0</v>
      </c>
      <c r="U1277" s="652"/>
      <c r="V1277" s="492"/>
      <c r="W1277" s="492"/>
    </row>
    <row r="1278" spans="7:23" s="491" customFormat="1" ht="24" customHeight="1">
      <c r="K1278" s="491" t="s">
        <v>1278</v>
      </c>
      <c r="L1278" s="285">
        <f>L424</f>
        <v>0</v>
      </c>
      <c r="M1278" s="285">
        <f t="shared" ref="M1278:T1278" si="572">M424</f>
        <v>5125</v>
      </c>
      <c r="N1278" s="286">
        <f t="shared" si="572"/>
        <v>258000</v>
      </c>
      <c r="O1278" s="286">
        <f t="shared" si="572"/>
        <v>301499</v>
      </c>
      <c r="P1278" s="285">
        <f t="shared" si="572"/>
        <v>2048501</v>
      </c>
      <c r="Q1278" s="285">
        <f t="shared" si="572"/>
        <v>0</v>
      </c>
      <c r="R1278" s="285">
        <f t="shared" si="572"/>
        <v>0</v>
      </c>
      <c r="S1278" s="285">
        <f t="shared" si="572"/>
        <v>0</v>
      </c>
      <c r="T1278" s="285">
        <f t="shared" si="572"/>
        <v>0</v>
      </c>
      <c r="U1278" s="542"/>
      <c r="V1278" s="271"/>
      <c r="W1278" s="271"/>
    </row>
    <row r="1279" spans="7:23" s="646" customFormat="1" ht="24" customHeight="1">
      <c r="L1279" s="285"/>
      <c r="M1279" s="285"/>
      <c r="N1279" s="286"/>
      <c r="O1279" s="286"/>
      <c r="P1279" s="285"/>
      <c r="Q1279" s="285"/>
      <c r="R1279" s="285"/>
      <c r="S1279" s="285"/>
      <c r="T1279" s="285"/>
      <c r="U1279" s="644"/>
    </row>
    <row r="1280" spans="7:23" s="646" customFormat="1" ht="24" customHeight="1">
      <c r="G1280" s="748" t="s">
        <v>1443</v>
      </c>
      <c r="H1280" s="748"/>
      <c r="I1280" s="748"/>
      <c r="J1280" s="748"/>
      <c r="K1280" s="748"/>
      <c r="L1280" s="316">
        <f t="shared" ref="L1280:T1280" si="573">SUM(L1281:L1282)</f>
        <v>0</v>
      </c>
      <c r="M1280" s="316">
        <f t="shared" si="573"/>
        <v>0</v>
      </c>
      <c r="N1280" s="317">
        <f t="shared" si="573"/>
        <v>0</v>
      </c>
      <c r="O1280" s="317">
        <f t="shared" si="573"/>
        <v>0</v>
      </c>
      <c r="P1280" s="316">
        <f t="shared" si="573"/>
        <v>5650000</v>
      </c>
      <c r="Q1280" s="316">
        <f t="shared" si="573"/>
        <v>0</v>
      </c>
      <c r="R1280" s="316">
        <f t="shared" si="573"/>
        <v>0</v>
      </c>
      <c r="S1280" s="316">
        <f t="shared" si="573"/>
        <v>0</v>
      </c>
      <c r="T1280" s="316">
        <f t="shared" si="573"/>
        <v>0</v>
      </c>
      <c r="U1280" s="644"/>
      <c r="V1280" s="651"/>
      <c r="W1280" s="651"/>
    </row>
    <row r="1281" spans="1:23" s="646" customFormat="1" ht="24" customHeight="1">
      <c r="G1281" s="643"/>
      <c r="H1281" s="643"/>
      <c r="I1281" s="643"/>
      <c r="J1281" s="643"/>
      <c r="K1281" s="646" t="s">
        <v>1278</v>
      </c>
      <c r="L1281" s="285">
        <f>L426</f>
        <v>0</v>
      </c>
      <c r="M1281" s="285">
        <f t="shared" ref="M1281:T1281" si="574">M426</f>
        <v>0</v>
      </c>
      <c r="N1281" s="286">
        <f t="shared" si="574"/>
        <v>0</v>
      </c>
      <c r="O1281" s="286">
        <f t="shared" si="574"/>
        <v>0</v>
      </c>
      <c r="P1281" s="285">
        <f t="shared" si="574"/>
        <v>1400000</v>
      </c>
      <c r="Q1281" s="285">
        <f t="shared" si="574"/>
        <v>0</v>
      </c>
      <c r="R1281" s="285">
        <f t="shared" si="574"/>
        <v>0</v>
      </c>
      <c r="S1281" s="285">
        <f t="shared" si="574"/>
        <v>0</v>
      </c>
      <c r="T1281" s="285">
        <f t="shared" si="574"/>
        <v>0</v>
      </c>
      <c r="U1281" s="644"/>
      <c r="V1281" s="271"/>
      <c r="W1281" s="271"/>
    </row>
    <row r="1282" spans="1:23" s="646" customFormat="1" ht="24" customHeight="1">
      <c r="G1282" s="643"/>
      <c r="H1282" s="643"/>
      <c r="I1282" s="643"/>
      <c r="J1282" s="643"/>
      <c r="K1282" s="646" t="s">
        <v>679</v>
      </c>
      <c r="L1282" s="285">
        <f>L629</f>
        <v>0</v>
      </c>
      <c r="M1282" s="285">
        <f t="shared" ref="M1282:T1282" si="575">M629</f>
        <v>0</v>
      </c>
      <c r="N1282" s="286">
        <f t="shared" si="575"/>
        <v>0</v>
      </c>
      <c r="O1282" s="286">
        <f t="shared" si="575"/>
        <v>0</v>
      </c>
      <c r="P1282" s="285">
        <f t="shared" si="575"/>
        <v>4250000</v>
      </c>
      <c r="Q1282" s="285">
        <f t="shared" si="575"/>
        <v>0</v>
      </c>
      <c r="R1282" s="285">
        <f t="shared" si="575"/>
        <v>0</v>
      </c>
      <c r="S1282" s="285">
        <f t="shared" si="575"/>
        <v>0</v>
      </c>
      <c r="T1282" s="285">
        <f t="shared" si="575"/>
        <v>0</v>
      </c>
      <c r="U1282" s="644"/>
      <c r="V1282" s="271"/>
      <c r="W1282" s="271"/>
    </row>
    <row r="1283" spans="1:23" s="648" customFormat="1" ht="24" customHeight="1">
      <c r="G1283" s="649"/>
      <c r="H1283" s="649"/>
      <c r="I1283" s="649"/>
      <c r="J1283" s="649"/>
      <c r="L1283" s="285"/>
      <c r="M1283" s="285"/>
      <c r="N1283" s="286"/>
      <c r="O1283" s="286"/>
      <c r="P1283" s="285"/>
      <c r="Q1283" s="285"/>
      <c r="R1283" s="285"/>
      <c r="S1283" s="285"/>
      <c r="T1283" s="285"/>
      <c r="U1283" s="650"/>
      <c r="V1283" s="273"/>
    </row>
    <row r="1284" spans="1:23" s="683" customFormat="1" ht="24" customHeight="1">
      <c r="A1284" s="378" t="s">
        <v>1469</v>
      </c>
      <c r="B1284" s="378"/>
      <c r="C1284" s="378"/>
      <c r="D1284" s="378"/>
      <c r="E1284" s="378"/>
      <c r="F1284" s="378"/>
      <c r="G1284" s="378"/>
      <c r="H1284" s="378"/>
      <c r="I1284" s="378"/>
      <c r="J1284" s="378"/>
      <c r="K1284" s="378"/>
      <c r="L1284" s="381"/>
      <c r="M1284" s="381"/>
      <c r="N1284" s="381"/>
      <c r="O1284" s="381"/>
      <c r="P1284" s="381"/>
      <c r="Q1284" s="381"/>
      <c r="R1284" s="381"/>
      <c r="S1284" s="381"/>
      <c r="T1284" s="381"/>
      <c r="U1284" s="684"/>
      <c r="V1284" s="273"/>
    </row>
    <row r="1285" spans="1:23" s="683" customFormat="1" ht="24" customHeight="1">
      <c r="G1285" s="682"/>
      <c r="H1285" s="682"/>
      <c r="I1285" s="682"/>
      <c r="J1285" s="682"/>
      <c r="L1285" s="285"/>
      <c r="M1285" s="285"/>
      <c r="N1285" s="286"/>
      <c r="O1285" s="286"/>
      <c r="P1285" s="285"/>
      <c r="Q1285" s="285"/>
      <c r="R1285" s="285"/>
      <c r="S1285" s="285"/>
      <c r="T1285" s="285"/>
      <c r="U1285" s="684"/>
      <c r="V1285" s="273"/>
    </row>
    <row r="1286" spans="1:23" s="648" customFormat="1" ht="24" customHeight="1">
      <c r="G1286" s="748" t="s">
        <v>1446</v>
      </c>
      <c r="H1286" s="748"/>
      <c r="I1286" s="748"/>
      <c r="J1286" s="748"/>
      <c r="K1286" s="748"/>
      <c r="L1286" s="316">
        <f t="shared" ref="L1286:T1286" si="576">SUM(L1287:L1287)</f>
        <v>0</v>
      </c>
      <c r="M1286" s="316">
        <f t="shared" si="576"/>
        <v>0</v>
      </c>
      <c r="N1286" s="317">
        <f t="shared" si="576"/>
        <v>0</v>
      </c>
      <c r="O1286" s="317">
        <f t="shared" si="576"/>
        <v>0</v>
      </c>
      <c r="P1286" s="316">
        <f t="shared" si="576"/>
        <v>143000</v>
      </c>
      <c r="Q1286" s="316">
        <f t="shared" si="576"/>
        <v>0</v>
      </c>
      <c r="R1286" s="316">
        <f t="shared" si="576"/>
        <v>166000</v>
      </c>
      <c r="S1286" s="316">
        <f t="shared" si="576"/>
        <v>123000</v>
      </c>
      <c r="T1286" s="316">
        <f t="shared" si="576"/>
        <v>150000</v>
      </c>
      <c r="U1286" s="650"/>
      <c r="V1286" s="651"/>
      <c r="W1286" s="651"/>
    </row>
    <row r="1287" spans="1:23" s="648" customFormat="1" ht="24" customHeight="1">
      <c r="G1287" s="649"/>
      <c r="H1287" s="649"/>
      <c r="I1287" s="649"/>
      <c r="J1287" s="649"/>
      <c r="K1287" s="648" t="s">
        <v>679</v>
      </c>
      <c r="L1287" s="285">
        <f>L623</f>
        <v>0</v>
      </c>
      <c r="M1287" s="285">
        <f t="shared" ref="M1287:T1287" si="577">M623</f>
        <v>0</v>
      </c>
      <c r="N1287" s="286">
        <f t="shared" si="577"/>
        <v>0</v>
      </c>
      <c r="O1287" s="286">
        <f t="shared" si="577"/>
        <v>0</v>
      </c>
      <c r="P1287" s="285">
        <f t="shared" si="577"/>
        <v>143000</v>
      </c>
      <c r="Q1287" s="285">
        <f t="shared" si="577"/>
        <v>0</v>
      </c>
      <c r="R1287" s="285">
        <f t="shared" si="577"/>
        <v>166000</v>
      </c>
      <c r="S1287" s="285">
        <f t="shared" si="577"/>
        <v>123000</v>
      </c>
      <c r="T1287" s="285">
        <f t="shared" si="577"/>
        <v>150000</v>
      </c>
      <c r="U1287" s="650"/>
      <c r="V1287" s="271"/>
      <c r="W1287" s="271"/>
    </row>
    <row r="1288" spans="1:23" s="648" customFormat="1" ht="24" customHeight="1">
      <c r="G1288" s="649"/>
      <c r="H1288" s="649"/>
      <c r="I1288" s="649"/>
      <c r="J1288" s="649"/>
      <c r="L1288" s="285"/>
      <c r="M1288" s="285"/>
      <c r="N1288" s="286"/>
      <c r="O1288" s="286"/>
      <c r="P1288" s="285"/>
      <c r="Q1288" s="285"/>
      <c r="R1288" s="285"/>
      <c r="S1288" s="285"/>
      <c r="T1288" s="285"/>
      <c r="U1288" s="650"/>
      <c r="V1288" s="273"/>
    </row>
    <row r="1289" spans="1:23" s="648" customFormat="1" ht="24" customHeight="1">
      <c r="G1289" s="748" t="s">
        <v>1447</v>
      </c>
      <c r="H1289" s="748"/>
      <c r="I1289" s="748"/>
      <c r="J1289" s="748"/>
      <c r="K1289" s="748"/>
      <c r="L1289" s="316">
        <f t="shared" ref="L1289:T1289" si="578">SUM(L1290:L1290)</f>
        <v>0</v>
      </c>
      <c r="M1289" s="316">
        <f t="shared" si="578"/>
        <v>0</v>
      </c>
      <c r="N1289" s="317">
        <f t="shared" si="578"/>
        <v>0</v>
      </c>
      <c r="O1289" s="317">
        <f t="shared" si="578"/>
        <v>0</v>
      </c>
      <c r="P1289" s="316">
        <f t="shared" si="578"/>
        <v>35000</v>
      </c>
      <c r="Q1289" s="316">
        <f t="shared" si="578"/>
        <v>35000</v>
      </c>
      <c r="R1289" s="316">
        <f t="shared" si="578"/>
        <v>481250</v>
      </c>
      <c r="S1289" s="316">
        <f t="shared" si="578"/>
        <v>481250</v>
      </c>
      <c r="T1289" s="316">
        <f t="shared" si="578"/>
        <v>0</v>
      </c>
      <c r="U1289" s="650"/>
      <c r="V1289" s="651"/>
      <c r="W1289" s="651"/>
    </row>
    <row r="1290" spans="1:23" s="648" customFormat="1" ht="24" customHeight="1">
      <c r="G1290" s="649"/>
      <c r="H1290" s="649"/>
      <c r="I1290" s="649"/>
      <c r="J1290" s="649"/>
      <c r="K1290" s="648" t="s">
        <v>679</v>
      </c>
      <c r="L1290" s="285">
        <f>L626</f>
        <v>0</v>
      </c>
      <c r="M1290" s="285">
        <f t="shared" ref="M1290:T1290" si="579">M626</f>
        <v>0</v>
      </c>
      <c r="N1290" s="286">
        <f t="shared" si="579"/>
        <v>0</v>
      </c>
      <c r="O1290" s="286">
        <f t="shared" si="579"/>
        <v>0</v>
      </c>
      <c r="P1290" s="285">
        <f t="shared" si="579"/>
        <v>35000</v>
      </c>
      <c r="Q1290" s="285">
        <f t="shared" si="579"/>
        <v>35000</v>
      </c>
      <c r="R1290" s="285">
        <f t="shared" si="579"/>
        <v>481250</v>
      </c>
      <c r="S1290" s="285">
        <f t="shared" si="579"/>
        <v>481250</v>
      </c>
      <c r="T1290" s="285">
        <f t="shared" si="579"/>
        <v>0</v>
      </c>
      <c r="U1290" s="650"/>
      <c r="V1290" s="271"/>
      <c r="W1290" s="271"/>
    </row>
    <row r="1291" spans="1:23" s="648" customFormat="1" ht="24" customHeight="1">
      <c r="G1291" s="649"/>
      <c r="H1291" s="649"/>
      <c r="I1291" s="649"/>
      <c r="J1291" s="649"/>
      <c r="L1291" s="285"/>
      <c r="M1291" s="285"/>
      <c r="N1291" s="286"/>
      <c r="O1291" s="286"/>
      <c r="P1291" s="285"/>
      <c r="Q1291" s="285"/>
      <c r="R1291" s="285"/>
      <c r="S1291" s="285"/>
      <c r="T1291" s="285"/>
      <c r="U1291" s="650"/>
      <c r="V1291" s="273"/>
    </row>
    <row r="1292" spans="1:23" s="648" customFormat="1" ht="24" customHeight="1">
      <c r="G1292" s="748" t="s">
        <v>1448</v>
      </c>
      <c r="H1292" s="748"/>
      <c r="I1292" s="748"/>
      <c r="J1292" s="748"/>
      <c r="K1292" s="748"/>
      <c r="L1292" s="316">
        <f t="shared" ref="L1292:T1292" si="580">SUM(L1293:L1293)</f>
        <v>0</v>
      </c>
      <c r="M1292" s="316">
        <f t="shared" si="580"/>
        <v>0</v>
      </c>
      <c r="N1292" s="317">
        <f t="shared" si="580"/>
        <v>0</v>
      </c>
      <c r="O1292" s="317">
        <f t="shared" si="580"/>
        <v>86574</v>
      </c>
      <c r="P1292" s="316">
        <f t="shared" si="580"/>
        <v>200000</v>
      </c>
      <c r="Q1292" s="316">
        <f t="shared" si="580"/>
        <v>200000</v>
      </c>
      <c r="R1292" s="316">
        <f t="shared" si="580"/>
        <v>200000</v>
      </c>
      <c r="S1292" s="316">
        <f t="shared" si="580"/>
        <v>200000</v>
      </c>
      <c r="T1292" s="316">
        <f t="shared" si="580"/>
        <v>200000</v>
      </c>
      <c r="U1292" s="650"/>
      <c r="V1292" s="651"/>
      <c r="W1292" s="651"/>
    </row>
    <row r="1293" spans="1:23" s="648" customFormat="1" ht="24" customHeight="1">
      <c r="G1293" s="649"/>
      <c r="H1293" s="649"/>
      <c r="I1293" s="649"/>
      <c r="J1293" s="649"/>
      <c r="K1293" s="648" t="s">
        <v>680</v>
      </c>
      <c r="L1293" s="285">
        <f>L718</f>
        <v>0</v>
      </c>
      <c r="M1293" s="285">
        <f t="shared" ref="M1293:T1293" si="581">M718</f>
        <v>0</v>
      </c>
      <c r="N1293" s="286">
        <f t="shared" si="581"/>
        <v>0</v>
      </c>
      <c r="O1293" s="286">
        <f t="shared" si="581"/>
        <v>86574</v>
      </c>
      <c r="P1293" s="285">
        <f t="shared" si="581"/>
        <v>200000</v>
      </c>
      <c r="Q1293" s="285">
        <f t="shared" si="581"/>
        <v>200000</v>
      </c>
      <c r="R1293" s="285">
        <f t="shared" si="581"/>
        <v>200000</v>
      </c>
      <c r="S1293" s="285">
        <f t="shared" si="581"/>
        <v>200000</v>
      </c>
      <c r="T1293" s="285">
        <f t="shared" si="581"/>
        <v>200000</v>
      </c>
      <c r="U1293" s="650"/>
      <c r="V1293" s="271"/>
      <c r="W1293" s="271"/>
    </row>
    <row r="1294" spans="1:23" s="485" customFormat="1" ht="24" customHeight="1">
      <c r="K1294" s="480"/>
      <c r="L1294" s="481"/>
      <c r="M1294" s="481"/>
      <c r="N1294" s="496"/>
      <c r="O1294" s="496"/>
      <c r="P1294" s="481"/>
      <c r="Q1294" s="481"/>
      <c r="R1294" s="481"/>
      <c r="S1294" s="481"/>
      <c r="T1294" s="481"/>
      <c r="U1294" s="542"/>
      <c r="V1294" s="697"/>
    </row>
    <row r="1295" spans="1:23" s="255" customFormat="1" ht="24" customHeight="1">
      <c r="L1295" s="318"/>
      <c r="M1295" s="318"/>
      <c r="N1295" s="272"/>
      <c r="O1295" s="272"/>
      <c r="P1295" s="318"/>
      <c r="Q1295" s="318"/>
      <c r="R1295" s="318"/>
      <c r="S1295" s="318"/>
      <c r="T1295" s="318"/>
      <c r="U1295" s="542"/>
      <c r="V1295" s="517"/>
    </row>
    <row r="1296" spans="1:23" ht="24" customHeight="1">
      <c r="J1296" s="426"/>
      <c r="K1296" s="426"/>
      <c r="L1296" s="347"/>
      <c r="M1296" s="347"/>
      <c r="V1296" s="519"/>
    </row>
    <row r="1297" spans="1:23" s="478" customFormat="1" ht="24" customHeight="1">
      <c r="A1297" s="747" t="s">
        <v>1297</v>
      </c>
      <c r="B1297" s="747"/>
      <c r="C1297" s="747"/>
      <c r="D1297" s="747"/>
      <c r="E1297" s="747"/>
      <c r="F1297" s="747"/>
      <c r="G1297" s="747"/>
      <c r="H1297" s="747"/>
      <c r="I1297" s="747"/>
      <c r="J1297" s="747"/>
      <c r="K1297" s="747"/>
      <c r="L1297" s="747"/>
      <c r="M1297" s="747"/>
      <c r="N1297" s="747"/>
      <c r="O1297" s="747"/>
      <c r="P1297" s="747"/>
      <c r="Q1297" s="747"/>
      <c r="R1297" s="747"/>
      <c r="S1297" s="747"/>
      <c r="T1297" s="747"/>
      <c r="U1297" s="500"/>
      <c r="V1297" s="500"/>
      <c r="W1297" s="500"/>
    </row>
    <row r="1298" spans="1:23" ht="24" customHeight="1">
      <c r="N1298" s="253"/>
      <c r="O1298" s="253"/>
      <c r="V1298" s="519"/>
    </row>
    <row r="1299" spans="1:23" ht="24" customHeight="1">
      <c r="N1299" s="253"/>
      <c r="O1299" s="253"/>
      <c r="V1299" s="519"/>
    </row>
    <row r="1300" spans="1:23" ht="24" customHeight="1">
      <c r="N1300" s="253"/>
      <c r="O1300" s="253"/>
      <c r="V1300" s="519"/>
    </row>
    <row r="1301" spans="1:23" ht="24" customHeight="1">
      <c r="N1301" s="253"/>
      <c r="O1301" s="253"/>
      <c r="V1301" s="519"/>
    </row>
    <row r="1302" spans="1:23" ht="24" customHeight="1">
      <c r="N1302" s="253"/>
      <c r="O1302" s="253"/>
      <c r="V1302" s="519"/>
    </row>
    <row r="1303" spans="1:23" ht="24" customHeight="1">
      <c r="N1303" s="253"/>
      <c r="O1303" s="253"/>
      <c r="V1303" s="519"/>
    </row>
    <row r="1304" spans="1:23" ht="24" customHeight="1">
      <c r="N1304" s="253"/>
      <c r="O1304" s="253"/>
      <c r="V1304" s="519"/>
    </row>
    <row r="1305" spans="1:23" ht="24" customHeight="1">
      <c r="N1305" s="253"/>
      <c r="O1305" s="253"/>
      <c r="V1305" s="519"/>
    </row>
    <row r="1306" spans="1:23" ht="24" customHeight="1">
      <c r="N1306" s="253"/>
      <c r="O1306" s="253"/>
      <c r="V1306" s="519"/>
    </row>
    <row r="1307" spans="1:23" ht="24" customHeight="1">
      <c r="N1307" s="253"/>
      <c r="O1307" s="253"/>
      <c r="V1307" s="519"/>
    </row>
    <row r="1308" spans="1:23" ht="24" customHeight="1">
      <c r="N1308" s="253"/>
      <c r="O1308" s="253"/>
      <c r="V1308" s="519"/>
    </row>
    <row r="1309" spans="1:23" ht="24" customHeight="1">
      <c r="N1309" s="253"/>
      <c r="O1309" s="253"/>
      <c r="V1309" s="519"/>
    </row>
    <row r="1310" spans="1:23" ht="24" customHeight="1">
      <c r="N1310" s="253"/>
      <c r="O1310" s="253"/>
      <c r="V1310" s="519"/>
    </row>
    <row r="1311" spans="1:23" ht="24" customHeight="1">
      <c r="N1311" s="253"/>
      <c r="O1311" s="253"/>
      <c r="V1311" s="519"/>
    </row>
    <row r="1312" spans="1:23" ht="24" customHeight="1">
      <c r="N1312" s="253"/>
      <c r="O1312" s="253"/>
      <c r="V1312" s="519"/>
    </row>
    <row r="1313" spans="14:22" ht="24" customHeight="1">
      <c r="N1313" s="253"/>
      <c r="O1313" s="253"/>
      <c r="V1313" s="519"/>
    </row>
    <row r="1314" spans="14:22" ht="24" customHeight="1">
      <c r="N1314" s="253"/>
      <c r="O1314" s="253"/>
    </row>
    <row r="1315" spans="14:22" ht="24" customHeight="1">
      <c r="N1315" s="253"/>
      <c r="O1315" s="253"/>
    </row>
    <row r="1316" spans="14:22" ht="24" customHeight="1">
      <c r="N1316" s="253"/>
      <c r="O1316" s="253"/>
    </row>
    <row r="1317" spans="14:22" ht="24" customHeight="1">
      <c r="N1317" s="253"/>
      <c r="O1317" s="253"/>
    </row>
    <row r="1318" spans="14:22" ht="24" customHeight="1">
      <c r="N1318" s="253"/>
      <c r="O1318" s="253"/>
    </row>
    <row r="1319" spans="14:22" ht="24" customHeight="1">
      <c r="N1319" s="253"/>
      <c r="O1319" s="253"/>
    </row>
    <row r="1320" spans="14:22" ht="24" customHeight="1">
      <c r="N1320" s="253"/>
      <c r="O1320" s="253"/>
    </row>
    <row r="1321" spans="14:22" ht="24" customHeight="1">
      <c r="N1321" s="253"/>
      <c r="O1321" s="253"/>
    </row>
    <row r="1322" spans="14:22" ht="24" customHeight="1">
      <c r="N1322" s="253"/>
      <c r="O1322" s="253"/>
    </row>
    <row r="1323" spans="14:22" ht="24" customHeight="1">
      <c r="N1323" s="253"/>
      <c r="O1323" s="253"/>
    </row>
    <row r="1324" spans="14:22" ht="24" customHeight="1">
      <c r="N1324" s="253"/>
      <c r="O1324" s="253"/>
    </row>
    <row r="1325" spans="14:22" ht="24" customHeight="1">
      <c r="N1325" s="253"/>
      <c r="O1325" s="253"/>
    </row>
    <row r="1326" spans="14:22" ht="24" customHeight="1">
      <c r="N1326" s="253"/>
      <c r="O1326" s="253"/>
    </row>
    <row r="1327" spans="14:22" ht="24" customHeight="1">
      <c r="N1327" s="253"/>
      <c r="O1327" s="253"/>
    </row>
    <row r="1328" spans="14:22" ht="24" customHeight="1">
      <c r="N1328" s="253"/>
      <c r="O1328" s="253"/>
    </row>
    <row r="1329" spans="14:15" ht="24" customHeight="1">
      <c r="N1329" s="253"/>
      <c r="O1329" s="253"/>
    </row>
    <row r="1330" spans="14:15" ht="24" customHeight="1">
      <c r="N1330" s="253"/>
      <c r="O1330" s="253"/>
    </row>
    <row r="1331" spans="14:15" ht="24" customHeight="1">
      <c r="N1331" s="253"/>
      <c r="O1331" s="253"/>
    </row>
    <row r="1332" spans="14:15" ht="24" customHeight="1">
      <c r="N1332" s="253"/>
      <c r="O1332" s="253"/>
    </row>
    <row r="1333" spans="14:15" ht="24" customHeight="1">
      <c r="N1333" s="253"/>
      <c r="O1333" s="253"/>
    </row>
    <row r="1334" spans="14:15" ht="24" customHeight="1">
      <c r="N1334" s="253"/>
      <c r="O1334" s="253"/>
    </row>
    <row r="1335" spans="14:15" ht="24" customHeight="1">
      <c r="N1335" s="253"/>
      <c r="O1335" s="253"/>
    </row>
    <row r="1336" spans="14:15" ht="24" customHeight="1">
      <c r="N1336" s="253"/>
      <c r="O1336" s="253"/>
    </row>
    <row r="1337" spans="14:15" ht="24" customHeight="1">
      <c r="N1337" s="253"/>
      <c r="O1337" s="253"/>
    </row>
    <row r="1338" spans="14:15" ht="24" customHeight="1">
      <c r="N1338" s="253"/>
      <c r="O1338" s="253"/>
    </row>
    <row r="1339" spans="14:15" ht="24" customHeight="1">
      <c r="N1339" s="253"/>
      <c r="O1339" s="253"/>
    </row>
    <row r="1340" spans="14:15" ht="24" customHeight="1">
      <c r="N1340" s="253"/>
      <c r="O1340" s="253"/>
    </row>
    <row r="1341" spans="14:15" ht="24" customHeight="1">
      <c r="N1341" s="253"/>
      <c r="O1341" s="253"/>
    </row>
    <row r="1342" spans="14:15" ht="24" customHeight="1">
      <c r="N1342" s="253"/>
      <c r="O1342" s="253"/>
    </row>
    <row r="1343" spans="14:15" ht="24" customHeight="1">
      <c r="N1343" s="253"/>
      <c r="O1343" s="253"/>
    </row>
    <row r="1344" spans="14:15" ht="24" customHeight="1">
      <c r="N1344" s="253"/>
      <c r="O1344" s="253"/>
    </row>
    <row r="1345" spans="14:15" ht="24" customHeight="1">
      <c r="N1345" s="253"/>
      <c r="O1345" s="253"/>
    </row>
    <row r="1346" spans="14:15" ht="24" customHeight="1">
      <c r="N1346" s="253"/>
      <c r="O1346" s="253"/>
    </row>
    <row r="1347" spans="14:15" ht="24" customHeight="1">
      <c r="N1347" s="253"/>
      <c r="O1347" s="253"/>
    </row>
    <row r="1348" spans="14:15" ht="24" customHeight="1">
      <c r="N1348" s="253"/>
      <c r="O1348" s="253"/>
    </row>
    <row r="1349" spans="14:15" ht="24" customHeight="1">
      <c r="N1349" s="253"/>
      <c r="O1349" s="253"/>
    </row>
    <row r="1350" spans="14:15" ht="24" customHeight="1">
      <c r="N1350" s="253"/>
      <c r="O1350" s="253"/>
    </row>
    <row r="1351" spans="14:15" ht="24" customHeight="1">
      <c r="N1351" s="253"/>
      <c r="O1351" s="253"/>
    </row>
    <row r="1352" spans="14:15" ht="24" customHeight="1">
      <c r="N1352" s="253"/>
      <c r="O1352" s="253"/>
    </row>
    <row r="1353" spans="14:15" ht="24" customHeight="1">
      <c r="N1353" s="253"/>
      <c r="O1353" s="253"/>
    </row>
    <row r="1354" spans="14:15" ht="24" customHeight="1">
      <c r="N1354" s="253"/>
      <c r="O1354" s="253"/>
    </row>
    <row r="1355" spans="14:15" ht="24" customHeight="1">
      <c r="N1355" s="253"/>
      <c r="O1355" s="253"/>
    </row>
    <row r="1356" spans="14:15" ht="24" customHeight="1">
      <c r="N1356" s="253"/>
      <c r="O1356" s="253"/>
    </row>
    <row r="1357" spans="14:15" ht="24" customHeight="1">
      <c r="N1357" s="253"/>
      <c r="O1357" s="253"/>
    </row>
    <row r="1358" spans="14:15" ht="24" customHeight="1">
      <c r="N1358" s="253"/>
      <c r="O1358" s="253"/>
    </row>
    <row r="1359" spans="14:15" ht="24" customHeight="1">
      <c r="N1359" s="253"/>
      <c r="O1359" s="253"/>
    </row>
    <row r="1360" spans="14:15" ht="24" customHeight="1">
      <c r="N1360" s="253"/>
      <c r="O1360" s="253"/>
    </row>
    <row r="1361" spans="14:15" ht="24" customHeight="1">
      <c r="N1361" s="253"/>
      <c r="O1361" s="253"/>
    </row>
    <row r="1362" spans="14:15" ht="24" customHeight="1">
      <c r="N1362" s="253"/>
      <c r="O1362" s="253"/>
    </row>
    <row r="1363" spans="14:15" ht="24" customHeight="1">
      <c r="N1363" s="253"/>
      <c r="O1363" s="253"/>
    </row>
    <row r="1364" spans="14:15" ht="24" customHeight="1">
      <c r="N1364" s="253"/>
      <c r="O1364" s="253"/>
    </row>
    <row r="1365" spans="14:15" ht="24" customHeight="1">
      <c r="N1365" s="253"/>
      <c r="O1365" s="253"/>
    </row>
    <row r="1366" spans="14:15" ht="24" customHeight="1">
      <c r="N1366" s="253"/>
      <c r="O1366" s="253"/>
    </row>
    <row r="1367" spans="14:15" ht="24" customHeight="1">
      <c r="N1367" s="253"/>
      <c r="O1367" s="253"/>
    </row>
    <row r="1368" spans="14:15" ht="24" customHeight="1">
      <c r="N1368" s="253"/>
      <c r="O1368" s="253"/>
    </row>
    <row r="1369" spans="14:15" ht="24" customHeight="1">
      <c r="N1369" s="253"/>
      <c r="O1369" s="253"/>
    </row>
    <row r="1370" spans="14:15" ht="24" customHeight="1">
      <c r="N1370" s="253"/>
      <c r="O1370" s="253"/>
    </row>
    <row r="1371" spans="14:15" ht="24" customHeight="1">
      <c r="N1371" s="253"/>
      <c r="O1371" s="253"/>
    </row>
    <row r="1372" spans="14:15" ht="24" customHeight="1">
      <c r="N1372" s="253"/>
      <c r="O1372" s="253"/>
    </row>
    <row r="1373" spans="14:15" ht="24" customHeight="1">
      <c r="N1373" s="253"/>
      <c r="O1373" s="253"/>
    </row>
    <row r="1374" spans="14:15" ht="24" customHeight="1">
      <c r="N1374" s="253"/>
      <c r="O1374" s="253"/>
    </row>
    <row r="1375" spans="14:15" ht="24" customHeight="1">
      <c r="N1375" s="253"/>
      <c r="O1375" s="253"/>
    </row>
    <row r="1376" spans="14:15" ht="24" customHeight="1">
      <c r="N1376" s="253"/>
      <c r="O1376" s="253"/>
    </row>
    <row r="1377" spans="14:15" ht="24" customHeight="1">
      <c r="N1377" s="253"/>
      <c r="O1377" s="253"/>
    </row>
    <row r="1378" spans="14:15" ht="24" customHeight="1">
      <c r="N1378" s="253"/>
      <c r="O1378" s="253"/>
    </row>
    <row r="1379" spans="14:15" ht="24" customHeight="1">
      <c r="N1379" s="253"/>
      <c r="O1379" s="253"/>
    </row>
    <row r="1380" spans="14:15" ht="24" customHeight="1">
      <c r="N1380" s="253"/>
      <c r="O1380" s="253"/>
    </row>
    <row r="1381" spans="14:15" ht="24" customHeight="1">
      <c r="N1381" s="253"/>
      <c r="O1381" s="253"/>
    </row>
    <row r="1382" spans="14:15" ht="24" customHeight="1">
      <c r="N1382" s="253"/>
      <c r="O1382" s="253"/>
    </row>
    <row r="1383" spans="14:15" ht="24" customHeight="1">
      <c r="N1383" s="253"/>
      <c r="O1383" s="253"/>
    </row>
    <row r="1384" spans="14:15" ht="24" customHeight="1">
      <c r="N1384" s="253"/>
      <c r="O1384" s="253"/>
    </row>
    <row r="1385" spans="14:15" ht="24" customHeight="1">
      <c r="N1385" s="253"/>
      <c r="O1385" s="253"/>
    </row>
    <row r="1386" spans="14:15" ht="24" customHeight="1">
      <c r="N1386" s="253"/>
      <c r="O1386" s="253"/>
    </row>
    <row r="1387" spans="14:15" ht="24" customHeight="1">
      <c r="N1387" s="253"/>
      <c r="O1387" s="253"/>
    </row>
    <row r="1388" spans="14:15" ht="24" customHeight="1">
      <c r="N1388" s="253"/>
      <c r="O1388" s="253"/>
    </row>
    <row r="1389" spans="14:15" ht="24" customHeight="1">
      <c r="N1389" s="253"/>
      <c r="O1389" s="253"/>
    </row>
    <row r="1390" spans="14:15" ht="24" customHeight="1">
      <c r="N1390" s="253"/>
      <c r="O1390" s="253"/>
    </row>
    <row r="1391" spans="14:15" ht="24" customHeight="1">
      <c r="N1391" s="253"/>
      <c r="O1391" s="253"/>
    </row>
    <row r="1392" spans="14:15" ht="24" customHeight="1">
      <c r="N1392" s="253"/>
      <c r="O1392" s="253"/>
    </row>
    <row r="1393" spans="14:15" ht="24" customHeight="1">
      <c r="N1393" s="253"/>
      <c r="O1393" s="253"/>
    </row>
    <row r="1394" spans="14:15" ht="24" customHeight="1">
      <c r="N1394" s="253"/>
      <c r="O1394" s="253"/>
    </row>
    <row r="1395" spans="14:15" ht="24" customHeight="1">
      <c r="N1395" s="253"/>
      <c r="O1395" s="253"/>
    </row>
    <row r="1396" spans="14:15" ht="24" customHeight="1">
      <c r="N1396" s="253"/>
      <c r="O1396" s="253"/>
    </row>
    <row r="1397" spans="14:15" ht="24" customHeight="1">
      <c r="N1397" s="253"/>
      <c r="O1397" s="253"/>
    </row>
    <row r="1398" spans="14:15" ht="24" customHeight="1">
      <c r="N1398" s="253"/>
      <c r="O1398" s="253"/>
    </row>
    <row r="1399" spans="14:15" ht="24" customHeight="1">
      <c r="N1399" s="253"/>
      <c r="O1399" s="253"/>
    </row>
    <row r="1400" spans="14:15" ht="24" customHeight="1">
      <c r="N1400" s="253"/>
      <c r="O1400" s="253"/>
    </row>
    <row r="1401" spans="14:15" ht="24" customHeight="1">
      <c r="N1401" s="253"/>
      <c r="O1401" s="253"/>
    </row>
    <row r="1402" spans="14:15" ht="24" customHeight="1">
      <c r="N1402" s="253"/>
      <c r="O1402" s="253"/>
    </row>
    <row r="1403" spans="14:15" ht="24" customHeight="1">
      <c r="N1403" s="253"/>
      <c r="O1403" s="253"/>
    </row>
    <row r="1404" spans="14:15" ht="24" customHeight="1">
      <c r="N1404" s="253"/>
      <c r="O1404" s="253"/>
    </row>
    <row r="1405" spans="14:15" ht="24" customHeight="1">
      <c r="N1405" s="253"/>
      <c r="O1405" s="253"/>
    </row>
    <row r="1406" spans="14:15" ht="24" customHeight="1">
      <c r="N1406" s="253"/>
      <c r="O1406" s="253"/>
    </row>
    <row r="1407" spans="14:15" ht="24" customHeight="1">
      <c r="N1407" s="253"/>
      <c r="O1407" s="253"/>
    </row>
    <row r="1408" spans="14:15" ht="24" customHeight="1">
      <c r="N1408" s="253"/>
      <c r="O1408" s="253"/>
    </row>
    <row r="1409" spans="14:15" ht="24" customHeight="1">
      <c r="N1409" s="253"/>
      <c r="O1409" s="253"/>
    </row>
    <row r="1410" spans="14:15" ht="24" customHeight="1">
      <c r="N1410" s="253"/>
      <c r="O1410" s="253"/>
    </row>
    <row r="1411" spans="14:15" ht="24" customHeight="1">
      <c r="N1411" s="253"/>
      <c r="O1411" s="253"/>
    </row>
    <row r="1412" spans="14:15" ht="24" customHeight="1">
      <c r="N1412" s="253"/>
      <c r="O1412" s="253"/>
    </row>
    <row r="1413" spans="14:15" ht="24" customHeight="1">
      <c r="N1413" s="253"/>
      <c r="O1413" s="253"/>
    </row>
    <row r="1414" spans="14:15" ht="24" customHeight="1">
      <c r="N1414" s="253"/>
      <c r="O1414" s="253"/>
    </row>
    <row r="1415" spans="14:15" ht="24" customHeight="1">
      <c r="N1415" s="253"/>
      <c r="O1415" s="253"/>
    </row>
    <row r="1416" spans="14:15" ht="24" customHeight="1">
      <c r="N1416" s="253"/>
      <c r="O1416" s="253"/>
    </row>
    <row r="1417" spans="14:15" ht="24" customHeight="1">
      <c r="N1417" s="253"/>
      <c r="O1417" s="253"/>
    </row>
    <row r="1418" spans="14:15" ht="24" customHeight="1">
      <c r="N1418" s="253"/>
      <c r="O1418" s="253"/>
    </row>
    <row r="1419" spans="14:15" ht="24" customHeight="1">
      <c r="N1419" s="253"/>
      <c r="O1419" s="253"/>
    </row>
    <row r="1420" spans="14:15" ht="24" customHeight="1">
      <c r="N1420" s="253"/>
      <c r="O1420" s="253"/>
    </row>
    <row r="1421" spans="14:15" ht="24" customHeight="1">
      <c r="N1421" s="253"/>
      <c r="O1421" s="253"/>
    </row>
    <row r="1422" spans="14:15" ht="24" customHeight="1">
      <c r="N1422" s="253"/>
      <c r="O1422" s="253"/>
    </row>
    <row r="1423" spans="14:15" ht="24" customHeight="1">
      <c r="N1423" s="253"/>
      <c r="O1423" s="253"/>
    </row>
    <row r="1424" spans="14:15" ht="24" customHeight="1">
      <c r="N1424" s="253"/>
      <c r="O1424" s="253"/>
    </row>
    <row r="1425" spans="14:15" ht="24" customHeight="1">
      <c r="N1425" s="253"/>
      <c r="O1425" s="253"/>
    </row>
    <row r="1426" spans="14:15" ht="24" customHeight="1">
      <c r="N1426" s="253"/>
      <c r="O1426" s="253"/>
    </row>
    <row r="1427" spans="14:15" ht="24" customHeight="1">
      <c r="N1427" s="253"/>
      <c r="O1427" s="253"/>
    </row>
    <row r="1428" spans="14:15" ht="24" customHeight="1">
      <c r="N1428" s="253"/>
      <c r="O1428" s="253"/>
    </row>
    <row r="1429" spans="14:15" ht="24" customHeight="1">
      <c r="N1429" s="253"/>
      <c r="O1429" s="253"/>
    </row>
    <row r="1430" spans="14:15" ht="24" customHeight="1">
      <c r="N1430" s="253"/>
      <c r="O1430" s="253"/>
    </row>
    <row r="1431" spans="14:15" ht="24" customHeight="1">
      <c r="N1431" s="253"/>
      <c r="O1431" s="253"/>
    </row>
    <row r="1432" spans="14:15" ht="24" customHeight="1">
      <c r="N1432" s="253"/>
      <c r="O1432" s="253"/>
    </row>
    <row r="1433" spans="14:15" ht="24" customHeight="1">
      <c r="N1433" s="253"/>
      <c r="O1433" s="253"/>
    </row>
    <row r="1434" spans="14:15" ht="24" customHeight="1">
      <c r="N1434" s="253"/>
      <c r="O1434" s="253"/>
    </row>
    <row r="1435" spans="14:15" ht="24" customHeight="1">
      <c r="N1435" s="253"/>
      <c r="O1435" s="253"/>
    </row>
    <row r="1436" spans="14:15" ht="24" customHeight="1">
      <c r="N1436" s="253"/>
      <c r="O1436" s="253"/>
    </row>
    <row r="1437" spans="14:15" ht="24" customHeight="1">
      <c r="N1437" s="253"/>
      <c r="O1437" s="253"/>
    </row>
    <row r="1438" spans="14:15" ht="24" customHeight="1">
      <c r="N1438" s="253"/>
      <c r="O1438" s="253"/>
    </row>
    <row r="1439" spans="14:15" ht="24" customHeight="1">
      <c r="N1439" s="253"/>
      <c r="O1439" s="253"/>
    </row>
    <row r="1440" spans="14:15" ht="24" customHeight="1">
      <c r="N1440" s="253"/>
      <c r="O1440" s="253"/>
    </row>
    <row r="1441" spans="14:15" ht="24" customHeight="1">
      <c r="N1441" s="253"/>
      <c r="O1441" s="253"/>
    </row>
    <row r="1442" spans="14:15" ht="24" customHeight="1">
      <c r="N1442" s="253"/>
      <c r="O1442" s="253"/>
    </row>
    <row r="1443" spans="14:15" ht="24" customHeight="1">
      <c r="N1443" s="253"/>
      <c r="O1443" s="253"/>
    </row>
    <row r="1444" spans="14:15" ht="24" customHeight="1">
      <c r="N1444" s="253"/>
      <c r="O1444" s="253"/>
    </row>
    <row r="1445" spans="14:15" ht="24" customHeight="1">
      <c r="N1445" s="253"/>
      <c r="O1445" s="253"/>
    </row>
    <row r="1446" spans="14:15" ht="24" customHeight="1">
      <c r="N1446" s="253"/>
      <c r="O1446" s="253"/>
    </row>
    <row r="1447" spans="14:15" ht="24" customHeight="1">
      <c r="N1447" s="253"/>
      <c r="O1447" s="253"/>
    </row>
    <row r="1448" spans="14:15" ht="24" customHeight="1">
      <c r="N1448" s="253"/>
      <c r="O1448" s="253"/>
    </row>
    <row r="1449" spans="14:15" ht="24" customHeight="1">
      <c r="N1449" s="253"/>
      <c r="O1449" s="253"/>
    </row>
    <row r="1450" spans="14:15" ht="24" customHeight="1">
      <c r="N1450" s="253"/>
      <c r="O1450" s="253"/>
    </row>
    <row r="1451" spans="14:15" ht="24" customHeight="1">
      <c r="N1451" s="253"/>
      <c r="O1451" s="253"/>
    </row>
    <row r="1452" spans="14:15" ht="24" customHeight="1">
      <c r="N1452" s="253"/>
      <c r="O1452" s="253"/>
    </row>
    <row r="1453" spans="14:15" ht="24" customHeight="1">
      <c r="N1453" s="253"/>
      <c r="O1453" s="253"/>
    </row>
    <row r="1454" spans="14:15" ht="24" customHeight="1">
      <c r="N1454" s="253"/>
      <c r="O1454" s="253"/>
    </row>
    <row r="1455" spans="14:15" ht="24" customHeight="1">
      <c r="N1455" s="253"/>
      <c r="O1455" s="253"/>
    </row>
    <row r="1456" spans="14:15" ht="24" customHeight="1">
      <c r="N1456" s="253"/>
      <c r="O1456" s="253"/>
    </row>
    <row r="1457" spans="14:15" ht="24" customHeight="1">
      <c r="N1457" s="253"/>
      <c r="O1457" s="253"/>
    </row>
    <row r="1458" spans="14:15" ht="24" customHeight="1">
      <c r="N1458" s="253"/>
      <c r="O1458" s="253"/>
    </row>
    <row r="1459" spans="14:15" ht="24" customHeight="1">
      <c r="N1459" s="253"/>
      <c r="O1459" s="253"/>
    </row>
    <row r="1460" spans="14:15" ht="24" customHeight="1">
      <c r="N1460" s="253"/>
      <c r="O1460" s="253"/>
    </row>
    <row r="1461" spans="14:15" ht="24" customHeight="1">
      <c r="N1461" s="253"/>
      <c r="O1461" s="253"/>
    </row>
    <row r="1462" spans="14:15" ht="24" customHeight="1">
      <c r="N1462" s="253"/>
      <c r="O1462" s="253"/>
    </row>
    <row r="1463" spans="14:15" ht="24" customHeight="1">
      <c r="N1463" s="253"/>
      <c r="O1463" s="253"/>
    </row>
    <row r="1464" spans="14:15" ht="24" customHeight="1">
      <c r="N1464" s="253"/>
      <c r="O1464" s="253"/>
    </row>
    <row r="1465" spans="14:15" ht="24" customHeight="1">
      <c r="N1465" s="253"/>
      <c r="O1465" s="253"/>
    </row>
    <row r="1466" spans="14:15" ht="24" customHeight="1">
      <c r="N1466" s="253"/>
      <c r="O1466" s="253"/>
    </row>
    <row r="1467" spans="14:15" ht="24" customHeight="1">
      <c r="N1467" s="253"/>
      <c r="O1467" s="253"/>
    </row>
    <row r="1468" spans="14:15" ht="24" customHeight="1">
      <c r="N1468" s="253"/>
      <c r="O1468" s="253"/>
    </row>
    <row r="1469" spans="14:15" ht="24" customHeight="1">
      <c r="N1469" s="253"/>
      <c r="O1469" s="253"/>
    </row>
    <row r="1470" spans="14:15" ht="24" customHeight="1">
      <c r="N1470" s="253"/>
      <c r="O1470" s="253"/>
    </row>
    <row r="1471" spans="14:15" ht="24" customHeight="1">
      <c r="N1471" s="253"/>
      <c r="O1471" s="253"/>
    </row>
    <row r="1472" spans="14:15" ht="24" customHeight="1">
      <c r="N1472" s="253"/>
      <c r="O1472" s="253"/>
    </row>
    <row r="1473" spans="14:15" ht="24" customHeight="1">
      <c r="N1473" s="253"/>
      <c r="O1473" s="253"/>
    </row>
    <row r="1474" spans="14:15" ht="24" customHeight="1">
      <c r="N1474" s="253"/>
      <c r="O1474" s="253"/>
    </row>
    <row r="1475" spans="14:15" ht="24" customHeight="1">
      <c r="N1475" s="253"/>
      <c r="O1475" s="253"/>
    </row>
    <row r="1476" spans="14:15" ht="24" customHeight="1">
      <c r="N1476" s="253"/>
      <c r="O1476" s="253"/>
    </row>
    <row r="1477" spans="14:15" ht="24" customHeight="1">
      <c r="N1477" s="253"/>
      <c r="O1477" s="253"/>
    </row>
    <row r="1478" spans="14:15" ht="24" customHeight="1">
      <c r="N1478" s="253"/>
      <c r="O1478" s="253"/>
    </row>
    <row r="1479" spans="14:15" ht="24" customHeight="1">
      <c r="N1479" s="253"/>
      <c r="O1479" s="253"/>
    </row>
    <row r="1480" spans="14:15" ht="24" customHeight="1">
      <c r="N1480" s="253"/>
      <c r="O1480" s="253"/>
    </row>
    <row r="1481" spans="14:15" ht="24" customHeight="1">
      <c r="N1481" s="253"/>
      <c r="O1481" s="253"/>
    </row>
    <row r="1482" spans="14:15" ht="24" customHeight="1">
      <c r="N1482" s="253"/>
      <c r="O1482" s="253"/>
    </row>
    <row r="1483" spans="14:15" ht="24" customHeight="1">
      <c r="N1483" s="253"/>
      <c r="O1483" s="253"/>
    </row>
    <row r="1484" spans="14:15" ht="24" customHeight="1">
      <c r="N1484" s="253"/>
      <c r="O1484" s="253"/>
    </row>
    <row r="1485" spans="14:15" ht="24" customHeight="1">
      <c r="N1485" s="253"/>
      <c r="O1485" s="253"/>
    </row>
    <row r="1486" spans="14:15" ht="24" customHeight="1">
      <c r="N1486" s="253"/>
      <c r="O1486" s="253"/>
    </row>
    <row r="1487" spans="14:15" ht="24" customHeight="1">
      <c r="N1487" s="253"/>
      <c r="O1487" s="253"/>
    </row>
    <row r="1488" spans="14:15" ht="24" customHeight="1">
      <c r="N1488" s="253"/>
      <c r="O1488" s="253"/>
    </row>
    <row r="1489" spans="14:15" ht="24" customHeight="1">
      <c r="N1489" s="253"/>
      <c r="O1489" s="253"/>
    </row>
    <row r="1490" spans="14:15" ht="24" customHeight="1">
      <c r="N1490" s="253"/>
      <c r="O1490" s="253"/>
    </row>
    <row r="1491" spans="14:15" ht="24" customHeight="1">
      <c r="N1491" s="253"/>
      <c r="O1491" s="253"/>
    </row>
    <row r="1492" spans="14:15" ht="24" customHeight="1">
      <c r="N1492" s="253"/>
      <c r="O1492" s="253"/>
    </row>
    <row r="1493" spans="14:15" ht="24" customHeight="1">
      <c r="N1493" s="253"/>
      <c r="O1493" s="253"/>
    </row>
    <row r="1494" spans="14:15" ht="24" customHeight="1">
      <c r="N1494" s="253"/>
      <c r="O1494" s="253"/>
    </row>
    <row r="1495" spans="14:15" ht="24" customHeight="1">
      <c r="N1495" s="253"/>
      <c r="O1495" s="253"/>
    </row>
    <row r="1496" spans="14:15" ht="24" customHeight="1">
      <c r="N1496" s="253"/>
      <c r="O1496" s="253"/>
    </row>
    <row r="1497" spans="14:15" ht="24" customHeight="1">
      <c r="N1497" s="253"/>
      <c r="O1497" s="253"/>
    </row>
    <row r="1498" spans="14:15" ht="24" customHeight="1">
      <c r="N1498" s="253"/>
      <c r="O1498" s="253"/>
    </row>
    <row r="1499" spans="14:15" ht="24" customHeight="1">
      <c r="N1499" s="253"/>
      <c r="O1499" s="253"/>
    </row>
    <row r="1500" spans="14:15" ht="24" customHeight="1">
      <c r="N1500" s="253"/>
      <c r="O1500" s="253"/>
    </row>
    <row r="1501" spans="14:15" ht="24" customHeight="1">
      <c r="N1501" s="253"/>
      <c r="O1501" s="253"/>
    </row>
  </sheetData>
  <sortState ref="A36:H45">
    <sortCondition ref="A36:A45"/>
  </sortState>
  <mergeCells count="98">
    <mergeCell ref="Y1:AB1"/>
    <mergeCell ref="A1172:K1172"/>
    <mergeCell ref="A1152:K1152"/>
    <mergeCell ref="A1131:K1131"/>
    <mergeCell ref="A1091:J1091"/>
    <mergeCell ref="V721:AA721"/>
    <mergeCell ref="V997:Z997"/>
    <mergeCell ref="V1047:AE1047"/>
    <mergeCell ref="C515:K515"/>
    <mergeCell ref="C517:K517"/>
    <mergeCell ref="D567:K567"/>
    <mergeCell ref="V615:X615"/>
    <mergeCell ref="C513:K513"/>
    <mergeCell ref="D458:K458"/>
    <mergeCell ref="D465:K465"/>
    <mergeCell ref="D793:K793"/>
    <mergeCell ref="V1162:Z1162"/>
    <mergeCell ref="V1160:V1161"/>
    <mergeCell ref="V1169:V1170"/>
    <mergeCell ref="F1213:K1213"/>
    <mergeCell ref="F1214:K1214"/>
    <mergeCell ref="X268:AB268"/>
    <mergeCell ref="X249:AB249"/>
    <mergeCell ref="V536:X536"/>
    <mergeCell ref="D1017:K1017"/>
    <mergeCell ref="D379:K379"/>
    <mergeCell ref="X322:AB322"/>
    <mergeCell ref="X340:AB340"/>
    <mergeCell ref="D326:K326"/>
    <mergeCell ref="V284:Z284"/>
    <mergeCell ref="V429:AI429"/>
    <mergeCell ref="V380:AA380"/>
    <mergeCell ref="D429:K429"/>
    <mergeCell ref="X70:Y70"/>
    <mergeCell ref="V630:AA630"/>
    <mergeCell ref="J1093:J1103"/>
    <mergeCell ref="J1112:J1122"/>
    <mergeCell ref="D757:K757"/>
    <mergeCell ref="V712:X712"/>
    <mergeCell ref="D934:K934"/>
    <mergeCell ref="D677:K677"/>
    <mergeCell ref="D674:K674"/>
    <mergeCell ref="D133:K133"/>
    <mergeCell ref="D325:K325"/>
    <mergeCell ref="D80:K80"/>
    <mergeCell ref="D81:K81"/>
    <mergeCell ref="D82:K82"/>
    <mergeCell ref="D466:K466"/>
    <mergeCell ref="F236:K236"/>
    <mergeCell ref="G1292:K1292"/>
    <mergeCell ref="A1235:K1235"/>
    <mergeCell ref="I1236:J1236"/>
    <mergeCell ref="A7:K7"/>
    <mergeCell ref="D5:F5"/>
    <mergeCell ref="D46:K46"/>
    <mergeCell ref="D79:K79"/>
    <mergeCell ref="G1260:K1260"/>
    <mergeCell ref="G1266:K1266"/>
    <mergeCell ref="G1271:K1271"/>
    <mergeCell ref="D32:K32"/>
    <mergeCell ref="D327:K327"/>
    <mergeCell ref="D386:K386"/>
    <mergeCell ref="F442:K442"/>
    <mergeCell ref="D457:K457"/>
    <mergeCell ref="D328:K328"/>
    <mergeCell ref="A1253:K1253"/>
    <mergeCell ref="A1194:K1194"/>
    <mergeCell ref="G1280:K1280"/>
    <mergeCell ref="G1286:K1286"/>
    <mergeCell ref="G1289:K1289"/>
    <mergeCell ref="F1215:K1215"/>
    <mergeCell ref="I1242:J1242"/>
    <mergeCell ref="I1247:J1247"/>
    <mergeCell ref="V1148:V1149"/>
    <mergeCell ref="A1297:T1297"/>
    <mergeCell ref="G1275:K1275"/>
    <mergeCell ref="I1177:J1177"/>
    <mergeCell ref="I1182:J1182"/>
    <mergeCell ref="I1184:J1184"/>
    <mergeCell ref="I1186:J1186"/>
    <mergeCell ref="I1218:J1218"/>
    <mergeCell ref="I1224:J1224"/>
    <mergeCell ref="I1229:J1229"/>
    <mergeCell ref="I1188:J1188"/>
    <mergeCell ref="F1201:K1201"/>
    <mergeCell ref="I1187:J1187"/>
    <mergeCell ref="I1180:J1180"/>
    <mergeCell ref="G1254:K1254"/>
    <mergeCell ref="A1217:K1217"/>
    <mergeCell ref="V1141:Z1141"/>
    <mergeCell ref="V1139:V1140"/>
    <mergeCell ref="F444:K444"/>
    <mergeCell ref="D456:K456"/>
    <mergeCell ref="D1038:K1038"/>
    <mergeCell ref="D1039:K1039"/>
    <mergeCell ref="V1108:V1109"/>
    <mergeCell ref="V1127:V1128"/>
    <mergeCell ref="V1110:Z1110"/>
  </mergeCells>
  <printOptions horizontalCentered="1"/>
  <pageMargins left="0" right="0" top="0.25" bottom="0.25" header="0" footer="0"/>
  <pageSetup scale="65" fitToHeight="20" orientation="landscape" horizontalDpi="4294967293" r:id="rId1"/>
  <headerFooter alignWithMargins="0"/>
  <rowBreaks count="42" manualBreakCount="42">
    <brk id="63" max="19" man="1"/>
    <brk id="102" max="19" man="1"/>
    <brk id="123" max="19" man="1"/>
    <brk id="167" max="19" man="1"/>
    <brk id="196" max="19" man="1"/>
    <brk id="229" max="19" man="1"/>
    <brk id="237" max="19" man="1"/>
    <brk id="270" max="19" man="1"/>
    <brk id="283" max="19" man="1"/>
    <brk id="301" max="19" man="1"/>
    <brk id="318" max="19" man="1"/>
    <brk id="347" max="19" man="1"/>
    <brk id="355" max="19" man="1"/>
    <brk id="372" max="19" man="1"/>
    <brk id="405" max="19" man="1"/>
    <brk id="432" max="19" man="1"/>
    <brk id="447" max="19" man="1"/>
    <brk id="519" max="19" man="1"/>
    <brk id="556" max="19" man="1"/>
    <brk id="623" max="19" man="1"/>
    <brk id="650" max="19" man="1"/>
    <brk id="662" max="19" man="1"/>
    <brk id="727" max="19" man="1"/>
    <brk id="749" max="19" man="1"/>
    <brk id="785" max="19" man="1"/>
    <brk id="877" max="19" man="1"/>
    <brk id="911" max="19" man="1"/>
    <brk id="924" max="19" man="1"/>
    <brk id="989" max="19" man="1"/>
    <brk id="1013" max="19" man="1"/>
    <brk id="1033" max="19" man="1"/>
    <brk id="1064" max="19" man="1"/>
    <brk id="1090" max="19" man="1"/>
    <brk id="1126" max="19" man="1"/>
    <brk id="1130" max="19" man="1"/>
    <brk id="1171" max="19" man="1"/>
    <brk id="1193" max="19" man="1"/>
    <brk id="1216" max="19" man="1"/>
    <brk id="1234" max="19" man="1"/>
    <brk id="1252" max="19" man="1"/>
    <brk id="1283" max="19" man="1"/>
    <brk id="1293" max="19" man="1"/>
  </rowBreaks>
  <ignoredErrors>
    <ignoredError sqref="O10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Budget Summary</vt:lpstr>
      <vt:lpstr>Budget Summary by Category</vt:lpstr>
      <vt:lpstr>Fund Balance History</vt:lpstr>
      <vt:lpstr>Fund Balance Summary</vt:lpstr>
      <vt:lpstr>Gen Fd Cover Sheets</vt:lpstr>
      <vt:lpstr>Veh &amp; Equip Cover Sheet</vt:lpstr>
      <vt:lpstr>Fund Cover Sheets</vt:lpstr>
      <vt:lpstr>Budget Detail FY 2013-20</vt:lpstr>
      <vt:lpstr>'Budget Detail FY 2013-20'!Print_Area</vt:lpstr>
      <vt:lpstr>'Budget Summary'!Print_Area</vt:lpstr>
      <vt:lpstr>'Budget Summary by Category'!Print_Area</vt:lpstr>
      <vt:lpstr>'Fund Balance History'!Print_Area</vt:lpstr>
      <vt:lpstr>'Fund Balance Summary'!Print_Area</vt:lpstr>
      <vt:lpstr>'Fund Cover Sheets'!Print_Area</vt:lpstr>
      <vt:lpstr>'Gen Fd Cover Sheets'!Print_Area</vt:lpstr>
      <vt:lpstr>'Veh &amp; Equip Cover Sheet'!Print_Area</vt:lpstr>
      <vt:lpstr>'Budget Detail FY 2013-20'!Print_Titles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Fredrickson</dc:creator>
  <cp:lastModifiedBy>rwright</cp:lastModifiedBy>
  <cp:lastPrinted>2015-08-04T20:57:49Z</cp:lastPrinted>
  <dcterms:created xsi:type="dcterms:W3CDTF">2010-07-13T03:18:21Z</dcterms:created>
  <dcterms:modified xsi:type="dcterms:W3CDTF">2015-08-07T16:48:40Z</dcterms:modified>
</cp:coreProperties>
</file>